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10.80.10\budget-4\4. Хисрав\Барои сайт\2025\Лоиҳаи буҷет\Иловатан\"/>
    </mc:Choice>
  </mc:AlternateContent>
  <bookViews>
    <workbookView xWindow="0" yWindow="0" windowWidth="28800" windowHeight="12435" tabRatio="599" firstSheet="4" activeTab="4"/>
  </bookViews>
  <sheets>
    <sheet name="2022 111" sheetId="27" state="hidden" r:id="rId1"/>
    <sheet name="2024" sheetId="31" state="hidden" r:id="rId2"/>
    <sheet name="2025 (7 05 2024)" sheetId="35" state="hidden" r:id="rId3"/>
    <sheet name="Варианти 1" sheetId="38" state="hidden" r:id="rId4"/>
    <sheet name="2025" sheetId="39" r:id="rId5"/>
    <sheet name="Варианти 3" sheetId="37" state="hidden" r:id="rId6"/>
    <sheet name="2026-2027" sheetId="44" r:id="rId7"/>
    <sheet name="2023 -2024" sheetId="28" state="hidden" r:id="rId8"/>
    <sheet name="2022 (+500)" sheetId="29" state="hidden" r:id="rId9"/>
  </sheets>
  <definedNames>
    <definedName name="Print_Area" localSheetId="8">'2022 (+500)'!$A$3:$G$136</definedName>
    <definedName name="Print_Area" localSheetId="0">'2022 111'!$A$3:$G$136</definedName>
    <definedName name="Print_Area" localSheetId="7">'2023 -2024'!$A$1:$J$131</definedName>
    <definedName name="Print_Area" localSheetId="1">'2024'!$A$4:$C$135</definedName>
    <definedName name="Print_Area" localSheetId="4">'2025'!$A$2:$B$148</definedName>
    <definedName name="Print_Area" localSheetId="2">'2025 (7 05 2024)'!$A$4:$C$150</definedName>
    <definedName name="Print_Area" localSheetId="3">'Варианти 1'!$A$5:$C$151</definedName>
    <definedName name="Print_Area" localSheetId="5">'Варианти 3'!$A$5:$C$151</definedName>
    <definedName name="Print_Titles" localSheetId="8">'2022 (+500)'!$5:$5</definedName>
    <definedName name="Print_Titles" localSheetId="0">'2022 111'!$5:$5</definedName>
    <definedName name="Print_Titles" localSheetId="7">'2023 -2024'!$3:$3</definedName>
    <definedName name="Print_Titles" localSheetId="1">'2024'!$6:$6</definedName>
    <definedName name="Print_Titles" localSheetId="4">'2025'!$4:$4</definedName>
    <definedName name="Print_Titles" localSheetId="2">'2025 (7 05 2024)'!$6:$6</definedName>
    <definedName name="Print_Titles" localSheetId="3">'Варианти 1'!$7:$7</definedName>
    <definedName name="Print_Titles" localSheetId="5">'Варианти 3'!$7:$7</definedName>
    <definedName name="_xlnm.Print_Titles" localSheetId="8">'2022 (+500)'!$5:$5</definedName>
    <definedName name="_xlnm.Print_Titles" localSheetId="0">'2022 111'!$5:$5</definedName>
    <definedName name="_xlnm.Print_Titles" localSheetId="7">'2023 -2024'!$3:$3</definedName>
    <definedName name="_xlnm.Print_Titles" localSheetId="1">'2024'!$6:$6</definedName>
    <definedName name="_xlnm.Print_Titles" localSheetId="4">'2025'!$4:$4</definedName>
    <definedName name="_xlnm.Print_Titles" localSheetId="2">'2025 (7 05 2024)'!$6:$6</definedName>
    <definedName name="_xlnm.Print_Titles" localSheetId="6">'2026-2027'!$3:$3</definedName>
    <definedName name="_xlnm.Print_Titles" localSheetId="3">'Варианти 1'!$7:$7</definedName>
    <definedName name="_xlnm.Print_Titles" localSheetId="5">'Варианти 3'!$7:$7</definedName>
    <definedName name="_xlnm.Print_Area" localSheetId="8">'2022 (+500)'!$A$3:$H$136</definedName>
    <definedName name="_xlnm.Print_Area" localSheetId="0">'2022 111'!$A$3:$H$136</definedName>
    <definedName name="_xlnm.Print_Area" localSheetId="7">'2023 -2024'!$A$1:$J$131</definedName>
    <definedName name="_xlnm.Print_Area" localSheetId="1">'2024'!$A$1:$J$144</definedName>
    <definedName name="_xlnm.Print_Area" localSheetId="4">'2025'!$A$1:$G$148</definedName>
    <definedName name="_xlnm.Print_Area" localSheetId="2">'2025 (7 05 2024)'!$A$1:$H$155</definedName>
    <definedName name="_xlnm.Print_Area" localSheetId="6">'2026-2027'!$A$1:$G$116</definedName>
    <definedName name="_xlnm.Print_Area" localSheetId="3">'Варианти 1'!$A$1:$H$156</definedName>
    <definedName name="_xlnm.Print_Area" localSheetId="5">'Варианти 3'!$A$1:$H$156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3" i="39" l="1"/>
  <c r="C11" i="39" l="1"/>
  <c r="C53" i="39"/>
  <c r="C46" i="39"/>
  <c r="C92" i="39"/>
  <c r="C52" i="39"/>
  <c r="C44" i="39"/>
  <c r="C42" i="39"/>
  <c r="C49" i="39"/>
  <c r="C41" i="39"/>
  <c r="C43" i="39"/>
  <c r="C135" i="39" l="1"/>
  <c r="C134" i="39" s="1"/>
  <c r="C140" i="39" l="1"/>
  <c r="D28" i="39" l="1"/>
  <c r="C17" i="39"/>
  <c r="B17" i="39"/>
  <c r="D109" i="38" l="1"/>
  <c r="D12" i="39" l="1"/>
  <c r="D11" i="39"/>
  <c r="C15" i="39"/>
  <c r="J147" i="39"/>
  <c r="H147" i="39"/>
  <c r="G147" i="39"/>
  <c r="F147" i="39"/>
  <c r="E147" i="39"/>
  <c r="D147" i="39"/>
  <c r="J146" i="39"/>
  <c r="H146" i="39"/>
  <c r="G146" i="39"/>
  <c r="F146" i="39"/>
  <c r="E146" i="39"/>
  <c r="D146" i="39"/>
  <c r="C145" i="39"/>
  <c r="G145" i="39" s="1"/>
  <c r="J145" i="39"/>
  <c r="B145" i="39"/>
  <c r="J144" i="39"/>
  <c r="H144" i="39"/>
  <c r="G144" i="39"/>
  <c r="F144" i="39"/>
  <c r="E144" i="39"/>
  <c r="D144" i="39"/>
  <c r="G143" i="39"/>
  <c r="J143" i="39"/>
  <c r="B143" i="39"/>
  <c r="F143" i="39" s="1"/>
  <c r="J142" i="39"/>
  <c r="H142" i="39"/>
  <c r="G142" i="39"/>
  <c r="F142" i="39"/>
  <c r="E142" i="39"/>
  <c r="D142" i="39"/>
  <c r="J141" i="39"/>
  <c r="G141" i="39"/>
  <c r="B141" i="39"/>
  <c r="J140" i="39"/>
  <c r="J139" i="39"/>
  <c r="H139" i="39"/>
  <c r="G139" i="39"/>
  <c r="F139" i="39"/>
  <c r="E139" i="39"/>
  <c r="D139" i="39"/>
  <c r="J138" i="39"/>
  <c r="H138" i="39"/>
  <c r="J137" i="39"/>
  <c r="H137" i="39"/>
  <c r="F137" i="39"/>
  <c r="J136" i="39"/>
  <c r="H136" i="39"/>
  <c r="G136" i="39"/>
  <c r="F136" i="39"/>
  <c r="E136" i="39"/>
  <c r="D136" i="39"/>
  <c r="J135" i="39"/>
  <c r="B135" i="39"/>
  <c r="F135" i="39" s="1"/>
  <c r="J133" i="39"/>
  <c r="H133" i="39"/>
  <c r="G133" i="39"/>
  <c r="F133" i="39"/>
  <c r="E133" i="39"/>
  <c r="D133" i="39"/>
  <c r="H132" i="39"/>
  <c r="F132" i="39"/>
  <c r="G132" i="39"/>
  <c r="J132" i="39"/>
  <c r="J131" i="39"/>
  <c r="H131" i="39"/>
  <c r="G131" i="39"/>
  <c r="F131" i="39"/>
  <c r="E131" i="39"/>
  <c r="D131" i="39"/>
  <c r="J130" i="39"/>
  <c r="H130" i="39"/>
  <c r="F130" i="39"/>
  <c r="E130" i="39"/>
  <c r="J129" i="39"/>
  <c r="H129" i="39"/>
  <c r="G129" i="39"/>
  <c r="F129" i="39"/>
  <c r="E129" i="39"/>
  <c r="D129" i="39"/>
  <c r="J128" i="39"/>
  <c r="H128" i="39"/>
  <c r="G128" i="39"/>
  <c r="F128" i="39"/>
  <c r="E128" i="39"/>
  <c r="D128" i="39"/>
  <c r="B127" i="39"/>
  <c r="J125" i="39"/>
  <c r="H125" i="39"/>
  <c r="G125" i="39"/>
  <c r="F125" i="39"/>
  <c r="E125" i="39"/>
  <c r="D125" i="39"/>
  <c r="J124" i="39"/>
  <c r="H124" i="39"/>
  <c r="G124" i="39"/>
  <c r="F124" i="39"/>
  <c r="E124" i="39"/>
  <c r="D124" i="39"/>
  <c r="J123" i="39"/>
  <c r="H123" i="39"/>
  <c r="G123" i="39"/>
  <c r="F123" i="39"/>
  <c r="E123" i="39"/>
  <c r="D123" i="39"/>
  <c r="J122" i="39"/>
  <c r="H122" i="39"/>
  <c r="G122" i="39"/>
  <c r="F122" i="39"/>
  <c r="E122" i="39"/>
  <c r="D122" i="39"/>
  <c r="J121" i="39"/>
  <c r="H121" i="39"/>
  <c r="G121" i="39"/>
  <c r="F121" i="39"/>
  <c r="E121" i="39"/>
  <c r="D121" i="39"/>
  <c r="C120" i="39"/>
  <c r="J119" i="39"/>
  <c r="B120" i="39"/>
  <c r="J118" i="39"/>
  <c r="H118" i="39"/>
  <c r="G118" i="39"/>
  <c r="F118" i="39"/>
  <c r="E118" i="39"/>
  <c r="D118" i="39"/>
  <c r="H117" i="39"/>
  <c r="F117" i="39"/>
  <c r="D117" i="39"/>
  <c r="J117" i="39"/>
  <c r="J116" i="39"/>
  <c r="H116" i="39"/>
  <c r="F116" i="39"/>
  <c r="E116" i="39"/>
  <c r="D116" i="39"/>
  <c r="J115" i="39"/>
  <c r="H115" i="39"/>
  <c r="F115" i="39"/>
  <c r="G115" i="39"/>
  <c r="J114" i="39"/>
  <c r="H114" i="39"/>
  <c r="G114" i="39"/>
  <c r="F114" i="39"/>
  <c r="E114" i="39"/>
  <c r="D114" i="39"/>
  <c r="J113" i="39"/>
  <c r="H113" i="39"/>
  <c r="G113" i="39"/>
  <c r="F113" i="39"/>
  <c r="E113" i="39"/>
  <c r="D113" i="39"/>
  <c r="B112" i="39"/>
  <c r="H112" i="39" s="1"/>
  <c r="J110" i="39"/>
  <c r="H110" i="39"/>
  <c r="G110" i="39"/>
  <c r="F110" i="39"/>
  <c r="E110" i="39"/>
  <c r="D110" i="39"/>
  <c r="H109" i="39"/>
  <c r="F109" i="39"/>
  <c r="E109" i="39"/>
  <c r="J108" i="39"/>
  <c r="H108" i="39"/>
  <c r="G108" i="39"/>
  <c r="F108" i="39"/>
  <c r="E108" i="39"/>
  <c r="D108" i="39"/>
  <c r="J107" i="39"/>
  <c r="H107" i="39"/>
  <c r="G107" i="39"/>
  <c r="F107" i="39"/>
  <c r="E107" i="39"/>
  <c r="D107" i="39"/>
  <c r="J106" i="39"/>
  <c r="H106" i="39"/>
  <c r="F106" i="39"/>
  <c r="E106" i="39"/>
  <c r="J105" i="39"/>
  <c r="H105" i="39"/>
  <c r="G105" i="39"/>
  <c r="F105" i="39"/>
  <c r="E105" i="39"/>
  <c r="D105" i="39"/>
  <c r="J104" i="39"/>
  <c r="B104" i="39"/>
  <c r="F104" i="39" s="1"/>
  <c r="J102" i="39"/>
  <c r="H102" i="39"/>
  <c r="G102" i="39"/>
  <c r="F102" i="39"/>
  <c r="E102" i="39"/>
  <c r="D102" i="39"/>
  <c r="H101" i="39"/>
  <c r="F101" i="39"/>
  <c r="G101" i="39"/>
  <c r="J101" i="39"/>
  <c r="J100" i="39"/>
  <c r="H100" i="39"/>
  <c r="G100" i="39"/>
  <c r="F100" i="39"/>
  <c r="E100" i="39"/>
  <c r="D100" i="39"/>
  <c r="J99" i="39"/>
  <c r="H99" i="39"/>
  <c r="F99" i="39"/>
  <c r="D99" i="39"/>
  <c r="J98" i="39"/>
  <c r="H98" i="39"/>
  <c r="G98" i="39"/>
  <c r="F98" i="39"/>
  <c r="E98" i="39"/>
  <c r="D98" i="39"/>
  <c r="J97" i="39"/>
  <c r="H97" i="39"/>
  <c r="G97" i="39"/>
  <c r="F97" i="39"/>
  <c r="E97" i="39"/>
  <c r="D97" i="39"/>
  <c r="C96" i="39"/>
  <c r="G96" i="39" s="1"/>
  <c r="J96" i="39"/>
  <c r="B96" i="39"/>
  <c r="F96" i="39" s="1"/>
  <c r="C94" i="39"/>
  <c r="J94" i="39"/>
  <c r="B94" i="39"/>
  <c r="H94" i="39" s="1"/>
  <c r="C93" i="39"/>
  <c r="G93" i="39" s="1"/>
  <c r="B93" i="39"/>
  <c r="F93" i="39" s="1"/>
  <c r="G92" i="39"/>
  <c r="J92" i="39"/>
  <c r="B92" i="39"/>
  <c r="F92" i="39" s="1"/>
  <c r="J91" i="39"/>
  <c r="B91" i="39"/>
  <c r="J90" i="39"/>
  <c r="B90" i="39"/>
  <c r="H90" i="39" s="1"/>
  <c r="C89" i="39"/>
  <c r="J89" i="39"/>
  <c r="B89" i="39"/>
  <c r="F89" i="39" s="1"/>
  <c r="J86" i="39"/>
  <c r="H86" i="39"/>
  <c r="G86" i="39"/>
  <c r="F86" i="39"/>
  <c r="E86" i="39"/>
  <c r="D86" i="39"/>
  <c r="J85" i="39"/>
  <c r="H85" i="39"/>
  <c r="G85" i="39"/>
  <c r="F85" i="39"/>
  <c r="E85" i="39"/>
  <c r="D85" i="39"/>
  <c r="J84" i="39"/>
  <c r="H84" i="39"/>
  <c r="F84" i="39"/>
  <c r="E84" i="39"/>
  <c r="D84" i="39"/>
  <c r="J83" i="39"/>
  <c r="H83" i="39"/>
  <c r="G83" i="39"/>
  <c r="F83" i="39"/>
  <c r="E83" i="39"/>
  <c r="D83" i="39"/>
  <c r="J82" i="39"/>
  <c r="H82" i="39"/>
  <c r="G82" i="39"/>
  <c r="F82" i="39"/>
  <c r="E82" i="39"/>
  <c r="D82" i="39"/>
  <c r="J81" i="39"/>
  <c r="H81" i="39"/>
  <c r="G81" i="39"/>
  <c r="F81" i="39"/>
  <c r="E81" i="39"/>
  <c r="D81" i="39"/>
  <c r="C80" i="39"/>
  <c r="G80" i="39" s="1"/>
  <c r="J80" i="39"/>
  <c r="B80" i="39"/>
  <c r="F80" i="39" s="1"/>
  <c r="J78" i="39"/>
  <c r="H78" i="39"/>
  <c r="G78" i="39"/>
  <c r="F78" i="39"/>
  <c r="E78" i="39"/>
  <c r="D78" i="39"/>
  <c r="J77" i="39"/>
  <c r="H77" i="39"/>
  <c r="G77" i="39"/>
  <c r="F77" i="39"/>
  <c r="D77" i="39"/>
  <c r="J76" i="39"/>
  <c r="H76" i="39"/>
  <c r="G76" i="39"/>
  <c r="F76" i="39"/>
  <c r="E76" i="39"/>
  <c r="D76" i="39"/>
  <c r="J75" i="39"/>
  <c r="H75" i="39"/>
  <c r="G75" i="39"/>
  <c r="F75" i="39"/>
  <c r="E75" i="39"/>
  <c r="D75" i="39"/>
  <c r="J74" i="39"/>
  <c r="H74" i="39"/>
  <c r="G74" i="39"/>
  <c r="F74" i="39"/>
  <c r="E74" i="39"/>
  <c r="D74" i="39"/>
  <c r="J73" i="39"/>
  <c r="H73" i="39"/>
  <c r="G73" i="39"/>
  <c r="F73" i="39"/>
  <c r="E73" i="39"/>
  <c r="D73" i="39"/>
  <c r="C72" i="39"/>
  <c r="J72" i="39"/>
  <c r="B72" i="39"/>
  <c r="J70" i="39"/>
  <c r="H70" i="39"/>
  <c r="G70" i="39"/>
  <c r="F70" i="39"/>
  <c r="E70" i="39"/>
  <c r="D70" i="39"/>
  <c r="J69" i="39"/>
  <c r="H69" i="39"/>
  <c r="G69" i="39"/>
  <c r="F69" i="39"/>
  <c r="E69" i="39"/>
  <c r="D69" i="39"/>
  <c r="J68" i="39"/>
  <c r="H68" i="39"/>
  <c r="G68" i="39"/>
  <c r="F68" i="39"/>
  <c r="E68" i="39"/>
  <c r="D68" i="39"/>
  <c r="J67" i="39"/>
  <c r="H67" i="39"/>
  <c r="F67" i="39"/>
  <c r="E67" i="39"/>
  <c r="J66" i="39"/>
  <c r="H66" i="39"/>
  <c r="G66" i="39"/>
  <c r="F66" i="39"/>
  <c r="E66" i="39"/>
  <c r="D66" i="39"/>
  <c r="J65" i="39"/>
  <c r="H65" i="39"/>
  <c r="G65" i="39"/>
  <c r="F65" i="39"/>
  <c r="E65" i="39"/>
  <c r="D65" i="39"/>
  <c r="J64" i="39"/>
  <c r="B64" i="39"/>
  <c r="J62" i="39"/>
  <c r="H62" i="39"/>
  <c r="G62" i="39"/>
  <c r="F62" i="39"/>
  <c r="E62" i="39"/>
  <c r="D62" i="39"/>
  <c r="H61" i="39"/>
  <c r="F61" i="39"/>
  <c r="D61" i="39"/>
  <c r="J53" i="39"/>
  <c r="J60" i="39"/>
  <c r="H60" i="39"/>
  <c r="G60" i="39"/>
  <c r="F60" i="39"/>
  <c r="E60" i="39"/>
  <c r="D60" i="39"/>
  <c r="J59" i="39"/>
  <c r="H59" i="39"/>
  <c r="F59" i="39"/>
  <c r="G59" i="39"/>
  <c r="J58" i="39"/>
  <c r="H58" i="39"/>
  <c r="G58" i="39"/>
  <c r="F58" i="39"/>
  <c r="E58" i="39"/>
  <c r="D58" i="39"/>
  <c r="J57" i="39"/>
  <c r="H57" i="39"/>
  <c r="G57" i="39"/>
  <c r="F57" i="39"/>
  <c r="E57" i="39"/>
  <c r="D57" i="39"/>
  <c r="C56" i="39"/>
  <c r="J56" i="39"/>
  <c r="B56" i="39"/>
  <c r="F56" i="39" s="1"/>
  <c r="C54" i="39"/>
  <c r="J54" i="39"/>
  <c r="B54" i="39"/>
  <c r="B53" i="39"/>
  <c r="H53" i="39" s="1"/>
  <c r="B52" i="39"/>
  <c r="F52" i="39" s="1"/>
  <c r="J51" i="39"/>
  <c r="B51" i="39"/>
  <c r="C50" i="39"/>
  <c r="G50" i="39" s="1"/>
  <c r="J50" i="39"/>
  <c r="B50" i="39"/>
  <c r="H50" i="39" s="1"/>
  <c r="G49" i="39"/>
  <c r="J49" i="39"/>
  <c r="B49" i="39"/>
  <c r="H49" i="39" s="1"/>
  <c r="J46" i="39"/>
  <c r="G46" i="39"/>
  <c r="B46" i="39"/>
  <c r="F46" i="39" s="1"/>
  <c r="J45" i="39"/>
  <c r="G45" i="39"/>
  <c r="B45" i="39"/>
  <c r="F45" i="39" s="1"/>
  <c r="J44" i="39"/>
  <c r="H44" i="39"/>
  <c r="G44" i="39"/>
  <c r="F44" i="39"/>
  <c r="E44" i="39"/>
  <c r="D44" i="39"/>
  <c r="J43" i="39"/>
  <c r="H43" i="39"/>
  <c r="G43" i="39"/>
  <c r="F43" i="39"/>
  <c r="E43" i="39"/>
  <c r="D43" i="39"/>
  <c r="J42" i="39"/>
  <c r="B42" i="39"/>
  <c r="H42" i="39" s="1"/>
  <c r="J41" i="39"/>
  <c r="G41" i="39"/>
  <c r="B41" i="39"/>
  <c r="F41" i="39" s="1"/>
  <c r="C40" i="39"/>
  <c r="C39" i="39" s="1"/>
  <c r="J38" i="39"/>
  <c r="H38" i="39"/>
  <c r="G38" i="39"/>
  <c r="F38" i="39"/>
  <c r="E38" i="39"/>
  <c r="D38" i="39"/>
  <c r="J37" i="39"/>
  <c r="H37" i="39"/>
  <c r="G37" i="39"/>
  <c r="F37" i="39"/>
  <c r="E37" i="39"/>
  <c r="D37" i="39"/>
  <c r="J36" i="39"/>
  <c r="H36" i="39"/>
  <c r="G36" i="39"/>
  <c r="F36" i="39"/>
  <c r="E36" i="39"/>
  <c r="D36" i="39"/>
  <c r="J35" i="39"/>
  <c r="H35" i="39"/>
  <c r="F35" i="39"/>
  <c r="E35" i="39"/>
  <c r="J34" i="39"/>
  <c r="H34" i="39"/>
  <c r="G34" i="39"/>
  <c r="F34" i="39"/>
  <c r="E34" i="39"/>
  <c r="D34" i="39"/>
  <c r="J33" i="39"/>
  <c r="H33" i="39"/>
  <c r="G33" i="39"/>
  <c r="F33" i="39"/>
  <c r="E33" i="39"/>
  <c r="D33" i="39"/>
  <c r="J32" i="39"/>
  <c r="B32" i="39"/>
  <c r="H32" i="39" s="1"/>
  <c r="J29" i="39"/>
  <c r="H29" i="39"/>
  <c r="G29" i="39"/>
  <c r="F29" i="39"/>
  <c r="E29" i="39"/>
  <c r="D29" i="39"/>
  <c r="J28" i="39"/>
  <c r="H28" i="39"/>
  <c r="G28" i="39"/>
  <c r="F28" i="39"/>
  <c r="E28" i="39"/>
  <c r="J20" i="39"/>
  <c r="H20" i="39"/>
  <c r="G20" i="39"/>
  <c r="F20" i="39"/>
  <c r="E20" i="39"/>
  <c r="D20" i="39"/>
  <c r="J19" i="39"/>
  <c r="H19" i="39"/>
  <c r="G19" i="39"/>
  <c r="F19" i="39"/>
  <c r="E19" i="39"/>
  <c r="D19" i="39"/>
  <c r="J18" i="39"/>
  <c r="H18" i="39"/>
  <c r="G18" i="39"/>
  <c r="F18" i="39"/>
  <c r="E18" i="39"/>
  <c r="D18" i="39"/>
  <c r="G17" i="39"/>
  <c r="J17" i="39"/>
  <c r="H17" i="39"/>
  <c r="J16" i="39"/>
  <c r="H16" i="39"/>
  <c r="G16" i="39"/>
  <c r="F16" i="39"/>
  <c r="E16" i="39"/>
  <c r="D16" i="39"/>
  <c r="H15" i="39"/>
  <c r="F15" i="39"/>
  <c r="J15" i="39"/>
  <c r="H14" i="39"/>
  <c r="F14" i="39"/>
  <c r="J14" i="39"/>
  <c r="B13" i="39"/>
  <c r="J12" i="39"/>
  <c r="H12" i="39"/>
  <c r="G12" i="39"/>
  <c r="F12" i="39"/>
  <c r="E12" i="39"/>
  <c r="J11" i="39"/>
  <c r="H11" i="39"/>
  <c r="G11" i="39"/>
  <c r="F11" i="39"/>
  <c r="J10" i="39"/>
  <c r="B10" i="39"/>
  <c r="H10" i="39" s="1"/>
  <c r="J8" i="39"/>
  <c r="H8" i="39"/>
  <c r="J7" i="39"/>
  <c r="H7" i="39"/>
  <c r="H6" i="39"/>
  <c r="C6" i="39"/>
  <c r="J6" i="39"/>
  <c r="J5" i="39"/>
  <c r="H5" i="39"/>
  <c r="E5" i="39"/>
  <c r="D5" i="39"/>
  <c r="J4" i="39"/>
  <c r="H4" i="39"/>
  <c r="J3" i="39"/>
  <c r="H3" i="39"/>
  <c r="K161" i="38"/>
  <c r="I161" i="38"/>
  <c r="K160" i="38"/>
  <c r="I160" i="38"/>
  <c r="K159" i="38"/>
  <c r="I159" i="38"/>
  <c r="K158" i="38"/>
  <c r="I158" i="38"/>
  <c r="E109" i="38"/>
  <c r="K156" i="38"/>
  <c r="I156" i="38"/>
  <c r="D156" i="38"/>
  <c r="K155" i="38"/>
  <c r="I155" i="38"/>
  <c r="K154" i="38"/>
  <c r="I154" i="38"/>
  <c r="K153" i="38"/>
  <c r="I153" i="38"/>
  <c r="K152" i="38"/>
  <c r="I152" i="38"/>
  <c r="K150" i="38"/>
  <c r="I150" i="38"/>
  <c r="H150" i="38"/>
  <c r="G150" i="38"/>
  <c r="F150" i="38"/>
  <c r="E150" i="38"/>
  <c r="K149" i="38"/>
  <c r="I149" i="38"/>
  <c r="H149" i="38"/>
  <c r="G149" i="38"/>
  <c r="F149" i="38"/>
  <c r="E149" i="38"/>
  <c r="D148" i="38"/>
  <c r="H148" i="38" s="1"/>
  <c r="C148" i="38"/>
  <c r="K148" i="38" s="1"/>
  <c r="B148" i="38"/>
  <c r="G148" i="38" s="1"/>
  <c r="K147" i="38"/>
  <c r="I147" i="38"/>
  <c r="H147" i="38"/>
  <c r="G147" i="38"/>
  <c r="F147" i="38"/>
  <c r="E147" i="38"/>
  <c r="H146" i="38"/>
  <c r="D146" i="38"/>
  <c r="C146" i="38"/>
  <c r="K146" i="38" s="1"/>
  <c r="B146" i="38"/>
  <c r="G146" i="38" s="1"/>
  <c r="K145" i="38"/>
  <c r="I145" i="38"/>
  <c r="H145" i="38"/>
  <c r="G145" i="38"/>
  <c r="F145" i="38"/>
  <c r="E145" i="38"/>
  <c r="K144" i="38"/>
  <c r="H144" i="38"/>
  <c r="G144" i="38"/>
  <c r="B144" i="38"/>
  <c r="I144" i="38" s="1"/>
  <c r="K143" i="38"/>
  <c r="D143" i="38"/>
  <c r="H143" i="38" s="1"/>
  <c r="C143" i="38"/>
  <c r="B143" i="38"/>
  <c r="F143" i="38" s="1"/>
  <c r="K142" i="38"/>
  <c r="I142" i="38"/>
  <c r="H142" i="38"/>
  <c r="G142" i="38"/>
  <c r="F142" i="38"/>
  <c r="E142" i="38"/>
  <c r="K141" i="38"/>
  <c r="I141" i="38"/>
  <c r="K140" i="38"/>
  <c r="I140" i="38"/>
  <c r="H140" i="38"/>
  <c r="G140" i="38"/>
  <c r="F140" i="38"/>
  <c r="E140" i="38"/>
  <c r="K139" i="38"/>
  <c r="I139" i="38"/>
  <c r="H139" i="38"/>
  <c r="G139" i="38"/>
  <c r="F139" i="38"/>
  <c r="E139" i="38"/>
  <c r="D138" i="38"/>
  <c r="C138" i="38"/>
  <c r="B138" i="38"/>
  <c r="I138" i="38" s="1"/>
  <c r="H137" i="38"/>
  <c r="D137" i="38"/>
  <c r="K136" i="38"/>
  <c r="I136" i="38"/>
  <c r="H136" i="38"/>
  <c r="G136" i="38"/>
  <c r="F136" i="38"/>
  <c r="E136" i="38"/>
  <c r="I135" i="38"/>
  <c r="G135" i="38"/>
  <c r="F135" i="38"/>
  <c r="E135" i="38"/>
  <c r="D135" i="38"/>
  <c r="H135" i="38" s="1"/>
  <c r="C135" i="38"/>
  <c r="K135" i="38" s="1"/>
  <c r="K134" i="38"/>
  <c r="I134" i="38"/>
  <c r="H134" i="38"/>
  <c r="G134" i="38"/>
  <c r="F134" i="38"/>
  <c r="E134" i="38"/>
  <c r="K133" i="38"/>
  <c r="I133" i="38"/>
  <c r="H133" i="38"/>
  <c r="G133" i="38"/>
  <c r="F133" i="38"/>
  <c r="E133" i="38"/>
  <c r="K132" i="38"/>
  <c r="I132" i="38"/>
  <c r="H132" i="38"/>
  <c r="G132" i="38"/>
  <c r="F132" i="38"/>
  <c r="E132" i="38"/>
  <c r="K131" i="38"/>
  <c r="I131" i="38"/>
  <c r="H131" i="38"/>
  <c r="G131" i="38"/>
  <c r="F131" i="38"/>
  <c r="E131" i="38"/>
  <c r="G130" i="38"/>
  <c r="D130" i="38"/>
  <c r="H130" i="38" s="1"/>
  <c r="C130" i="38"/>
  <c r="B130" i="38"/>
  <c r="D129" i="38"/>
  <c r="B129" i="38"/>
  <c r="G129" i="38" s="1"/>
  <c r="K128" i="38"/>
  <c r="I128" i="38"/>
  <c r="H128" i="38"/>
  <c r="G128" i="38"/>
  <c r="F128" i="38"/>
  <c r="E128" i="38"/>
  <c r="K127" i="38"/>
  <c r="I127" i="38"/>
  <c r="H127" i="38"/>
  <c r="G127" i="38"/>
  <c r="F127" i="38"/>
  <c r="E127" i="38"/>
  <c r="K126" i="38"/>
  <c r="I126" i="38"/>
  <c r="H126" i="38"/>
  <c r="G126" i="38"/>
  <c r="F126" i="38"/>
  <c r="E126" i="38"/>
  <c r="K125" i="38"/>
  <c r="I125" i="38"/>
  <c r="H125" i="38"/>
  <c r="G125" i="38"/>
  <c r="F125" i="38"/>
  <c r="E125" i="38"/>
  <c r="K124" i="38"/>
  <c r="I124" i="38"/>
  <c r="H124" i="38"/>
  <c r="G124" i="38"/>
  <c r="F124" i="38"/>
  <c r="E124" i="38"/>
  <c r="G123" i="38"/>
  <c r="D123" i="38"/>
  <c r="H123" i="38" s="1"/>
  <c r="C123" i="38"/>
  <c r="B123" i="38"/>
  <c r="H122" i="38"/>
  <c r="D122" i="38"/>
  <c r="K121" i="38"/>
  <c r="I121" i="38"/>
  <c r="H121" i="38"/>
  <c r="G121" i="38"/>
  <c r="F121" i="38"/>
  <c r="E121" i="38"/>
  <c r="I120" i="38"/>
  <c r="G120" i="38"/>
  <c r="D120" i="38"/>
  <c r="H120" i="38" s="1"/>
  <c r="C120" i="38"/>
  <c r="K120" i="38" s="1"/>
  <c r="K119" i="38"/>
  <c r="I119" i="38"/>
  <c r="H119" i="38"/>
  <c r="G119" i="38"/>
  <c r="F119" i="38"/>
  <c r="E119" i="38"/>
  <c r="K118" i="38"/>
  <c r="I118" i="38"/>
  <c r="H118" i="38"/>
  <c r="G118" i="38"/>
  <c r="F118" i="38"/>
  <c r="E118" i="38"/>
  <c r="K117" i="38"/>
  <c r="I117" i="38"/>
  <c r="H117" i="38"/>
  <c r="G117" i="38"/>
  <c r="F117" i="38"/>
  <c r="E117" i="38"/>
  <c r="K116" i="38"/>
  <c r="I116" i="38"/>
  <c r="H116" i="38"/>
  <c r="G116" i="38"/>
  <c r="F116" i="38"/>
  <c r="E116" i="38"/>
  <c r="D115" i="38"/>
  <c r="H115" i="38" s="1"/>
  <c r="C115" i="38"/>
  <c r="B115" i="38"/>
  <c r="F115" i="38" s="1"/>
  <c r="K113" i="38"/>
  <c r="I113" i="38"/>
  <c r="H113" i="38"/>
  <c r="G113" i="38"/>
  <c r="F113" i="38"/>
  <c r="E113" i="38"/>
  <c r="I112" i="38"/>
  <c r="G112" i="38"/>
  <c r="E112" i="38"/>
  <c r="D112" i="38"/>
  <c r="F112" i="38" s="1"/>
  <c r="C112" i="38"/>
  <c r="K112" i="38" s="1"/>
  <c r="K111" i="38"/>
  <c r="I111" i="38"/>
  <c r="H111" i="38"/>
  <c r="G111" i="38"/>
  <c r="F111" i="38"/>
  <c r="E111" i="38"/>
  <c r="K110" i="38"/>
  <c r="I110" i="38"/>
  <c r="H110" i="38"/>
  <c r="G110" i="38"/>
  <c r="F110" i="38"/>
  <c r="E110" i="38"/>
  <c r="K109" i="38"/>
  <c r="I109" i="38"/>
  <c r="H109" i="38"/>
  <c r="G109" i="38"/>
  <c r="F109" i="38"/>
  <c r="K108" i="38"/>
  <c r="I108" i="38"/>
  <c r="H108" i="38"/>
  <c r="G108" i="38"/>
  <c r="F108" i="38"/>
  <c r="E108" i="38"/>
  <c r="C107" i="38"/>
  <c r="B107" i="38"/>
  <c r="I107" i="38" s="1"/>
  <c r="K105" i="38"/>
  <c r="I105" i="38"/>
  <c r="H105" i="38"/>
  <c r="G105" i="38"/>
  <c r="F105" i="38"/>
  <c r="E105" i="38"/>
  <c r="I104" i="38"/>
  <c r="G104" i="38"/>
  <c r="D104" i="38"/>
  <c r="H104" i="38" s="1"/>
  <c r="C104" i="38"/>
  <c r="K103" i="38"/>
  <c r="I103" i="38"/>
  <c r="H103" i="38"/>
  <c r="G103" i="38"/>
  <c r="F103" i="38"/>
  <c r="E103" i="38"/>
  <c r="K102" i="38"/>
  <c r="I102" i="38"/>
  <c r="H102" i="38"/>
  <c r="G102" i="38"/>
  <c r="F102" i="38"/>
  <c r="E102" i="38"/>
  <c r="K101" i="38"/>
  <c r="I101" i="38"/>
  <c r="H101" i="38"/>
  <c r="G101" i="38"/>
  <c r="F101" i="38"/>
  <c r="E101" i="38"/>
  <c r="K100" i="38"/>
  <c r="I100" i="38"/>
  <c r="H100" i="38"/>
  <c r="G100" i="38"/>
  <c r="F100" i="38"/>
  <c r="E100" i="38"/>
  <c r="D99" i="38"/>
  <c r="C99" i="38"/>
  <c r="C91" i="38" s="1"/>
  <c r="B99" i="38"/>
  <c r="I99" i="38" s="1"/>
  <c r="B98" i="38"/>
  <c r="G98" i="38" s="1"/>
  <c r="D97" i="38"/>
  <c r="H97" i="38" s="1"/>
  <c r="C97" i="38"/>
  <c r="K97" i="38" s="1"/>
  <c r="B97" i="38"/>
  <c r="G97" i="38" s="1"/>
  <c r="B96" i="38"/>
  <c r="D95" i="38"/>
  <c r="C95" i="38"/>
  <c r="K95" i="38" s="1"/>
  <c r="B95" i="38"/>
  <c r="I95" i="38" s="1"/>
  <c r="H94" i="38"/>
  <c r="D94" i="38"/>
  <c r="C94" i="38"/>
  <c r="K94" i="38" s="1"/>
  <c r="B94" i="38"/>
  <c r="G94" i="38" s="1"/>
  <c r="D93" i="38"/>
  <c r="H93" i="38" s="1"/>
  <c r="C93" i="38"/>
  <c r="K93" i="38" s="1"/>
  <c r="B93" i="38"/>
  <c r="G93" i="38" s="1"/>
  <c r="K92" i="38"/>
  <c r="D92" i="38"/>
  <c r="C92" i="38"/>
  <c r="B92" i="38"/>
  <c r="F92" i="38" s="1"/>
  <c r="K89" i="38"/>
  <c r="I89" i="38"/>
  <c r="H89" i="38"/>
  <c r="G89" i="38"/>
  <c r="F89" i="38"/>
  <c r="E89" i="38"/>
  <c r="K88" i="38"/>
  <c r="I88" i="38"/>
  <c r="H88" i="38"/>
  <c r="G88" i="38"/>
  <c r="F88" i="38"/>
  <c r="E88" i="38"/>
  <c r="K87" i="38"/>
  <c r="I87" i="38"/>
  <c r="H87" i="38"/>
  <c r="G87" i="38"/>
  <c r="F87" i="38"/>
  <c r="E87" i="38"/>
  <c r="K86" i="38"/>
  <c r="I86" i="38"/>
  <c r="H86" i="38"/>
  <c r="G86" i="38"/>
  <c r="F86" i="38"/>
  <c r="E86" i="38"/>
  <c r="K85" i="38"/>
  <c r="I85" i="38"/>
  <c r="H85" i="38"/>
  <c r="G85" i="38"/>
  <c r="F85" i="38"/>
  <c r="E85" i="38"/>
  <c r="K84" i="38"/>
  <c r="I84" i="38"/>
  <c r="H84" i="38"/>
  <c r="G84" i="38"/>
  <c r="F84" i="38"/>
  <c r="E84" i="38"/>
  <c r="D83" i="38"/>
  <c r="H83" i="38" s="1"/>
  <c r="C83" i="38"/>
  <c r="K83" i="38" s="1"/>
  <c r="B83" i="38"/>
  <c r="G83" i="38" s="1"/>
  <c r="K82" i="38"/>
  <c r="D82" i="38"/>
  <c r="H82" i="38" s="1"/>
  <c r="C82" i="38"/>
  <c r="B82" i="38"/>
  <c r="F82" i="38" s="1"/>
  <c r="K81" i="38"/>
  <c r="I81" i="38"/>
  <c r="H81" i="38"/>
  <c r="G81" i="38"/>
  <c r="F81" i="38"/>
  <c r="E81" i="38"/>
  <c r="K80" i="38"/>
  <c r="I80" i="38"/>
  <c r="H80" i="38"/>
  <c r="G80" i="38"/>
  <c r="E80" i="38"/>
  <c r="K79" i="38"/>
  <c r="I79" i="38"/>
  <c r="H79" i="38"/>
  <c r="G79" i="38"/>
  <c r="F79" i="38"/>
  <c r="E79" i="38"/>
  <c r="K78" i="38"/>
  <c r="I78" i="38"/>
  <c r="H78" i="38"/>
  <c r="G78" i="38"/>
  <c r="F78" i="38"/>
  <c r="E78" i="38"/>
  <c r="K77" i="38"/>
  <c r="I77" i="38"/>
  <c r="H77" i="38"/>
  <c r="G77" i="38"/>
  <c r="F77" i="38"/>
  <c r="E77" i="38"/>
  <c r="K76" i="38"/>
  <c r="I76" i="38"/>
  <c r="H76" i="38"/>
  <c r="G76" i="38"/>
  <c r="F76" i="38"/>
  <c r="E76" i="38"/>
  <c r="K75" i="38"/>
  <c r="D75" i="38"/>
  <c r="H75" i="38" s="1"/>
  <c r="C75" i="38"/>
  <c r="B75" i="38"/>
  <c r="D74" i="38"/>
  <c r="H74" i="38" s="1"/>
  <c r="C74" i="38"/>
  <c r="K73" i="38"/>
  <c r="I73" i="38"/>
  <c r="H73" i="38"/>
  <c r="G73" i="38"/>
  <c r="F73" i="38"/>
  <c r="E73" i="38"/>
  <c r="K72" i="38"/>
  <c r="I72" i="38"/>
  <c r="H72" i="38"/>
  <c r="G72" i="38"/>
  <c r="F72" i="38"/>
  <c r="E72" i="38"/>
  <c r="K71" i="38"/>
  <c r="I71" i="38"/>
  <c r="H71" i="38"/>
  <c r="G71" i="38"/>
  <c r="F71" i="38"/>
  <c r="E71" i="38"/>
  <c r="K70" i="38"/>
  <c r="I70" i="38"/>
  <c r="H70" i="38"/>
  <c r="G70" i="38"/>
  <c r="F70" i="38"/>
  <c r="E70" i="38"/>
  <c r="K69" i="38"/>
  <c r="I69" i="38"/>
  <c r="H69" i="38"/>
  <c r="G69" i="38"/>
  <c r="F69" i="38"/>
  <c r="E69" i="38"/>
  <c r="K68" i="38"/>
  <c r="I68" i="38"/>
  <c r="H68" i="38"/>
  <c r="G68" i="38"/>
  <c r="F68" i="38"/>
  <c r="E68" i="38"/>
  <c r="D67" i="38"/>
  <c r="H67" i="38" s="1"/>
  <c r="C67" i="38"/>
  <c r="K67" i="38" s="1"/>
  <c r="B67" i="38"/>
  <c r="G67" i="38" s="1"/>
  <c r="K65" i="38"/>
  <c r="I65" i="38"/>
  <c r="H65" i="38"/>
  <c r="G65" i="38"/>
  <c r="F65" i="38"/>
  <c r="E65" i="38"/>
  <c r="I64" i="38"/>
  <c r="G64" i="38"/>
  <c r="F64" i="38"/>
  <c r="E64" i="38"/>
  <c r="D64" i="38"/>
  <c r="H64" i="38" s="1"/>
  <c r="C64" i="38"/>
  <c r="K64" i="38" s="1"/>
  <c r="K63" i="38"/>
  <c r="I63" i="38"/>
  <c r="H63" i="38"/>
  <c r="G63" i="38"/>
  <c r="F63" i="38"/>
  <c r="E63" i="38"/>
  <c r="K62" i="38"/>
  <c r="I62" i="38"/>
  <c r="H62" i="38"/>
  <c r="G62" i="38"/>
  <c r="F62" i="38"/>
  <c r="E62" i="38"/>
  <c r="K61" i="38"/>
  <c r="I61" i="38"/>
  <c r="H61" i="38"/>
  <c r="G61" i="38"/>
  <c r="F61" i="38"/>
  <c r="E61" i="38"/>
  <c r="K60" i="38"/>
  <c r="I60" i="38"/>
  <c r="H60" i="38"/>
  <c r="G60" i="38"/>
  <c r="F60" i="38"/>
  <c r="E60" i="38"/>
  <c r="D59" i="38"/>
  <c r="H59" i="38" s="1"/>
  <c r="C59" i="38"/>
  <c r="K59" i="38" s="1"/>
  <c r="B59" i="38"/>
  <c r="G59" i="38" s="1"/>
  <c r="K58" i="38"/>
  <c r="D58" i="38"/>
  <c r="C58" i="38"/>
  <c r="B58" i="38"/>
  <c r="F58" i="38" s="1"/>
  <c r="D57" i="38"/>
  <c r="H57" i="38" s="1"/>
  <c r="C57" i="38"/>
  <c r="K57" i="38" s="1"/>
  <c r="B57" i="38"/>
  <c r="F57" i="38" s="1"/>
  <c r="H56" i="38"/>
  <c r="D56" i="38"/>
  <c r="C56" i="38"/>
  <c r="K56" i="38" s="1"/>
  <c r="B56" i="38"/>
  <c r="G56" i="38" s="1"/>
  <c r="D55" i="38"/>
  <c r="H55" i="38" s="1"/>
  <c r="C55" i="38"/>
  <c r="K55" i="38" s="1"/>
  <c r="B55" i="38"/>
  <c r="G55" i="38" s="1"/>
  <c r="D54" i="38"/>
  <c r="H54" i="38" s="1"/>
  <c r="C54" i="38"/>
  <c r="K54" i="38" s="1"/>
  <c r="B54" i="38"/>
  <c r="G53" i="38"/>
  <c r="D53" i="38"/>
  <c r="H53" i="38" s="1"/>
  <c r="C53" i="38"/>
  <c r="K53" i="38" s="1"/>
  <c r="B53" i="38"/>
  <c r="D52" i="38"/>
  <c r="D26" i="38" s="1"/>
  <c r="C52" i="38"/>
  <c r="K52" i="38" s="1"/>
  <c r="B52" i="38"/>
  <c r="G52" i="38" s="1"/>
  <c r="K49" i="38"/>
  <c r="H49" i="38"/>
  <c r="G49" i="38"/>
  <c r="F49" i="38"/>
  <c r="E49" i="38"/>
  <c r="B49" i="38"/>
  <c r="I49" i="38" s="1"/>
  <c r="K48" i="38"/>
  <c r="H48" i="38"/>
  <c r="F48" i="38"/>
  <c r="B48" i="38"/>
  <c r="I48" i="38" s="1"/>
  <c r="K47" i="38"/>
  <c r="I47" i="38"/>
  <c r="H47" i="38"/>
  <c r="G47" i="38"/>
  <c r="F47" i="38"/>
  <c r="E47" i="38"/>
  <c r="K46" i="38"/>
  <c r="I46" i="38"/>
  <c r="H46" i="38"/>
  <c r="G46" i="38"/>
  <c r="F46" i="38"/>
  <c r="E46" i="38"/>
  <c r="E45" i="38"/>
  <c r="D45" i="38"/>
  <c r="H45" i="38" s="1"/>
  <c r="C45" i="38"/>
  <c r="K45" i="38" s="1"/>
  <c r="B45" i="38"/>
  <c r="G45" i="38" s="1"/>
  <c r="K44" i="38"/>
  <c r="H44" i="38"/>
  <c r="B44" i="38"/>
  <c r="I44" i="38" s="1"/>
  <c r="D43" i="38"/>
  <c r="H43" i="38" s="1"/>
  <c r="C43" i="38"/>
  <c r="K43" i="38" s="1"/>
  <c r="C42" i="38"/>
  <c r="K42" i="38" s="1"/>
  <c r="K41" i="38"/>
  <c r="I41" i="38"/>
  <c r="H41" i="38"/>
  <c r="G41" i="38"/>
  <c r="F41" i="38"/>
  <c r="E41" i="38"/>
  <c r="K40" i="38"/>
  <c r="I40" i="38"/>
  <c r="H40" i="38"/>
  <c r="G40" i="38"/>
  <c r="F40" i="38"/>
  <c r="E40" i="38"/>
  <c r="K39" i="38"/>
  <c r="I39" i="38"/>
  <c r="H39" i="38"/>
  <c r="G39" i="38"/>
  <c r="F39" i="38"/>
  <c r="E39" i="38"/>
  <c r="K38" i="38"/>
  <c r="I38" i="38"/>
  <c r="H38" i="38"/>
  <c r="G38" i="38"/>
  <c r="F38" i="38"/>
  <c r="E38" i="38"/>
  <c r="K37" i="38"/>
  <c r="I37" i="38"/>
  <c r="H37" i="38"/>
  <c r="G37" i="38"/>
  <c r="F37" i="38"/>
  <c r="E37" i="38"/>
  <c r="K36" i="38"/>
  <c r="I36" i="38"/>
  <c r="H36" i="38"/>
  <c r="G36" i="38"/>
  <c r="F36" i="38"/>
  <c r="E36" i="38"/>
  <c r="G35" i="38"/>
  <c r="D35" i="38"/>
  <c r="E35" i="38" s="1"/>
  <c r="C35" i="38"/>
  <c r="K35" i="38" s="1"/>
  <c r="B35" i="38"/>
  <c r="D33" i="38"/>
  <c r="K32" i="38"/>
  <c r="I32" i="38"/>
  <c r="H32" i="38"/>
  <c r="G32" i="38"/>
  <c r="F32" i="38"/>
  <c r="E32" i="38"/>
  <c r="K31" i="38"/>
  <c r="I31" i="38"/>
  <c r="H31" i="38"/>
  <c r="G31" i="38"/>
  <c r="F31" i="38"/>
  <c r="E31" i="38"/>
  <c r="B30" i="38"/>
  <c r="G30" i="38" s="1"/>
  <c r="K29" i="38"/>
  <c r="D29" i="38"/>
  <c r="H29" i="38" s="1"/>
  <c r="C29" i="38"/>
  <c r="B29" i="38"/>
  <c r="G29" i="38" s="1"/>
  <c r="B28" i="38"/>
  <c r="G28" i="38" s="1"/>
  <c r="C26" i="38"/>
  <c r="K26" i="38" s="1"/>
  <c r="K23" i="38"/>
  <c r="I23" i="38"/>
  <c r="H23" i="38"/>
  <c r="G23" i="38"/>
  <c r="F23" i="38"/>
  <c r="E23" i="38"/>
  <c r="K22" i="38"/>
  <c r="I22" i="38"/>
  <c r="H22" i="38"/>
  <c r="G22" i="38"/>
  <c r="F22" i="38"/>
  <c r="E22" i="38"/>
  <c r="K21" i="38"/>
  <c r="I21" i="38"/>
  <c r="H21" i="38"/>
  <c r="G21" i="38"/>
  <c r="F21" i="38"/>
  <c r="E21" i="38"/>
  <c r="K20" i="38"/>
  <c r="D20" i="38"/>
  <c r="E20" i="38" s="1"/>
  <c r="C20" i="38"/>
  <c r="B20" i="38"/>
  <c r="G20" i="38" s="1"/>
  <c r="K19" i="38"/>
  <c r="I19" i="38"/>
  <c r="H19" i="38"/>
  <c r="G19" i="38"/>
  <c r="F19" i="38"/>
  <c r="E19" i="38"/>
  <c r="I18" i="38"/>
  <c r="G18" i="38"/>
  <c r="F18" i="38"/>
  <c r="D18" i="38"/>
  <c r="H18" i="38" s="1"/>
  <c r="C18" i="38"/>
  <c r="K18" i="38" s="1"/>
  <c r="K17" i="38"/>
  <c r="I17" i="38"/>
  <c r="G17" i="38"/>
  <c r="F17" i="38"/>
  <c r="E17" i="38"/>
  <c r="D17" i="38"/>
  <c r="H17" i="38" s="1"/>
  <c r="C17" i="38"/>
  <c r="I16" i="38"/>
  <c r="D16" i="38"/>
  <c r="H16" i="38" s="1"/>
  <c r="C16" i="38"/>
  <c r="C12" i="38" s="1"/>
  <c r="B16" i="38"/>
  <c r="K15" i="38"/>
  <c r="I15" i="38"/>
  <c r="H15" i="38"/>
  <c r="G15" i="38"/>
  <c r="F15" i="38"/>
  <c r="E15" i="38"/>
  <c r="K14" i="38"/>
  <c r="I14" i="38"/>
  <c r="H14" i="38"/>
  <c r="G14" i="38"/>
  <c r="F14" i="38"/>
  <c r="E14" i="38"/>
  <c r="D13" i="38"/>
  <c r="E13" i="38" s="1"/>
  <c r="C13" i="38"/>
  <c r="K13" i="38" s="1"/>
  <c r="B13" i="38"/>
  <c r="K11" i="38"/>
  <c r="I11" i="38"/>
  <c r="K10" i="38"/>
  <c r="I10" i="38"/>
  <c r="K9" i="38"/>
  <c r="I9" i="38"/>
  <c r="D9" i="38"/>
  <c r="C9" i="38"/>
  <c r="K8" i="38"/>
  <c r="I8" i="38"/>
  <c r="F8" i="38"/>
  <c r="E8" i="38"/>
  <c r="K7" i="38"/>
  <c r="I7" i="38"/>
  <c r="K6" i="38"/>
  <c r="I6" i="38"/>
  <c r="G89" i="39" l="1"/>
  <c r="C23" i="39"/>
  <c r="C30" i="39"/>
  <c r="G30" i="39" s="1"/>
  <c r="F20" i="38"/>
  <c r="C34" i="38"/>
  <c r="K34" i="38" s="1"/>
  <c r="E44" i="38"/>
  <c r="I45" i="38"/>
  <c r="I59" i="38"/>
  <c r="D12" i="38"/>
  <c r="E16" i="38"/>
  <c r="C28" i="38"/>
  <c r="K28" i="38" s="1"/>
  <c r="B33" i="38"/>
  <c r="D34" i="38"/>
  <c r="F44" i="38"/>
  <c r="C51" i="38"/>
  <c r="K51" i="38" s="1"/>
  <c r="F54" i="38"/>
  <c r="B66" i="38"/>
  <c r="I66" i="38" s="1"/>
  <c r="E67" i="38"/>
  <c r="F75" i="38"/>
  <c r="B91" i="38"/>
  <c r="D96" i="38"/>
  <c r="H96" i="38" s="1"/>
  <c r="D98" i="38"/>
  <c r="H98" i="38" s="1"/>
  <c r="F99" i="38"/>
  <c r="E104" i="38"/>
  <c r="B114" i="38"/>
  <c r="G114" i="38" s="1"/>
  <c r="E120" i="38"/>
  <c r="F123" i="38"/>
  <c r="F130" i="38"/>
  <c r="B137" i="38"/>
  <c r="G137" i="38" s="1"/>
  <c r="G84" i="39"/>
  <c r="K16" i="38"/>
  <c r="I30" i="38"/>
  <c r="D42" i="38"/>
  <c r="H42" i="38" s="1"/>
  <c r="I83" i="38"/>
  <c r="F13" i="38"/>
  <c r="B12" i="38"/>
  <c r="F16" i="38"/>
  <c r="E18" i="38"/>
  <c r="B26" i="38"/>
  <c r="B27" i="38"/>
  <c r="D28" i="38"/>
  <c r="H28" i="38" s="1"/>
  <c r="F29" i="38"/>
  <c r="F33" i="38"/>
  <c r="F35" i="38"/>
  <c r="B43" i="38"/>
  <c r="F43" i="38" s="1"/>
  <c r="E48" i="38"/>
  <c r="D51" i="38"/>
  <c r="H51" i="38" s="1"/>
  <c r="F53" i="38"/>
  <c r="E55" i="38"/>
  <c r="C66" i="38"/>
  <c r="K66" i="38" s="1"/>
  <c r="I67" i="38"/>
  <c r="F95" i="38"/>
  <c r="E97" i="38"/>
  <c r="G99" i="38"/>
  <c r="F104" i="38"/>
  <c r="G107" i="38"/>
  <c r="D114" i="38"/>
  <c r="H114" i="38" s="1"/>
  <c r="G115" i="38"/>
  <c r="F120" i="38"/>
  <c r="F138" i="38"/>
  <c r="F144" i="38"/>
  <c r="E148" i="38"/>
  <c r="D59" i="39"/>
  <c r="I55" i="38"/>
  <c r="G57" i="38"/>
  <c r="E59" i="38"/>
  <c r="D66" i="38"/>
  <c r="E83" i="38"/>
  <c r="I93" i="38"/>
  <c r="G95" i="38"/>
  <c r="I97" i="38"/>
  <c r="B106" i="38"/>
  <c r="G106" i="38" s="1"/>
  <c r="G138" i="38"/>
  <c r="I148" i="38"/>
  <c r="I146" i="38"/>
  <c r="F42" i="39"/>
  <c r="B9" i="39"/>
  <c r="H9" i="39" s="1"/>
  <c r="J26" i="39"/>
  <c r="J40" i="39"/>
  <c r="E59" i="39"/>
  <c r="C90" i="39"/>
  <c r="C24" i="39" s="1"/>
  <c r="C104" i="39"/>
  <c r="E104" i="39" s="1"/>
  <c r="D53" i="39"/>
  <c r="E99" i="39"/>
  <c r="E72" i="39"/>
  <c r="J127" i="39"/>
  <c r="J126" i="39"/>
  <c r="H46" i="39"/>
  <c r="E117" i="39"/>
  <c r="D46" i="39"/>
  <c r="E46" i="39"/>
  <c r="C51" i="39"/>
  <c r="G51" i="39" s="1"/>
  <c r="E61" i="39"/>
  <c r="D132" i="39"/>
  <c r="D143" i="39"/>
  <c r="J61" i="39"/>
  <c r="J13" i="39"/>
  <c r="B26" i="39"/>
  <c r="H26" i="39" s="1"/>
  <c r="E42" i="39"/>
  <c r="C64" i="39"/>
  <c r="C63" i="39" s="1"/>
  <c r="G63" i="39" s="1"/>
  <c r="E132" i="39"/>
  <c r="H143" i="39"/>
  <c r="C71" i="39"/>
  <c r="G71" i="39" s="1"/>
  <c r="E17" i="39"/>
  <c r="J30" i="39"/>
  <c r="E120" i="39"/>
  <c r="E54" i="39"/>
  <c r="H104" i="39"/>
  <c r="C119" i="39"/>
  <c r="J134" i="39"/>
  <c r="H89" i="39"/>
  <c r="F90" i="39"/>
  <c r="B95" i="39"/>
  <c r="F95" i="39" s="1"/>
  <c r="D96" i="39"/>
  <c r="J31" i="39"/>
  <c r="F53" i="39"/>
  <c r="B103" i="39"/>
  <c r="J55" i="39"/>
  <c r="J79" i="39"/>
  <c r="H135" i="39"/>
  <c r="E50" i="39"/>
  <c r="H13" i="39"/>
  <c r="J25" i="39"/>
  <c r="J48" i="39"/>
  <c r="E49" i="39"/>
  <c r="B55" i="39"/>
  <c r="J63" i="39"/>
  <c r="J71" i="39"/>
  <c r="C79" i="39"/>
  <c r="G79" i="39" s="1"/>
  <c r="D92" i="39"/>
  <c r="J95" i="39"/>
  <c r="B111" i="39"/>
  <c r="F112" i="39"/>
  <c r="J120" i="39"/>
  <c r="E145" i="39"/>
  <c r="J52" i="39"/>
  <c r="H92" i="39"/>
  <c r="E94" i="39"/>
  <c r="H80" i="39"/>
  <c r="J23" i="39"/>
  <c r="B79" i="39"/>
  <c r="F79" i="39" s="1"/>
  <c r="D80" i="39"/>
  <c r="H93" i="39"/>
  <c r="F94" i="39"/>
  <c r="H96" i="39"/>
  <c r="B134" i="39"/>
  <c r="F134" i="39" s="1"/>
  <c r="I28" i="38"/>
  <c r="D27" i="38"/>
  <c r="E27" i="38" s="1"/>
  <c r="C10" i="39"/>
  <c r="G10" i="39" s="1"/>
  <c r="C14" i="39"/>
  <c r="E11" i="39"/>
  <c r="G15" i="39"/>
  <c r="D15" i="39"/>
  <c r="E15" i="39"/>
  <c r="C55" i="39"/>
  <c r="E56" i="39"/>
  <c r="D56" i="39"/>
  <c r="F10" i="39"/>
  <c r="F17" i="39"/>
  <c r="B23" i="39"/>
  <c r="B27" i="39"/>
  <c r="F32" i="39"/>
  <c r="G35" i="39"/>
  <c r="G40" i="39"/>
  <c r="D41" i="39"/>
  <c r="H41" i="39"/>
  <c r="G42" i="39"/>
  <c r="D45" i="39"/>
  <c r="H45" i="39"/>
  <c r="F49" i="39"/>
  <c r="F50" i="39"/>
  <c r="F51" i="39"/>
  <c r="E52" i="39"/>
  <c r="D52" i="39"/>
  <c r="H54" i="39"/>
  <c r="F54" i="39"/>
  <c r="G56" i="39"/>
  <c r="H72" i="39"/>
  <c r="B71" i="39"/>
  <c r="F72" i="39"/>
  <c r="H120" i="39"/>
  <c r="B119" i="39"/>
  <c r="F120" i="39"/>
  <c r="B88" i="39"/>
  <c r="H145" i="39"/>
  <c r="D145" i="39"/>
  <c r="F145" i="39"/>
  <c r="G39" i="39"/>
  <c r="E89" i="39"/>
  <c r="D89" i="39"/>
  <c r="E137" i="39"/>
  <c r="D137" i="39"/>
  <c r="F141" i="39"/>
  <c r="B140" i="39"/>
  <c r="D140" i="39" s="1"/>
  <c r="E141" i="39"/>
  <c r="H141" i="39"/>
  <c r="D141" i="39"/>
  <c r="F13" i="39"/>
  <c r="B24" i="39"/>
  <c r="C26" i="39"/>
  <c r="B30" i="39"/>
  <c r="C32" i="39"/>
  <c r="C31" i="39" s="1"/>
  <c r="D35" i="39"/>
  <c r="E41" i="39"/>
  <c r="D42" i="39"/>
  <c r="E45" i="39"/>
  <c r="H51" i="39"/>
  <c r="G52" i="39"/>
  <c r="E93" i="39"/>
  <c r="D93" i="39"/>
  <c r="J112" i="39"/>
  <c r="J111" i="39"/>
  <c r="H127" i="39"/>
  <c r="B126" i="39"/>
  <c r="F127" i="39"/>
  <c r="G137" i="39"/>
  <c r="G116" i="39"/>
  <c r="E115" i="39"/>
  <c r="C91" i="39"/>
  <c r="D115" i="39"/>
  <c r="C112" i="39"/>
  <c r="D17" i="39"/>
  <c r="J24" i="39"/>
  <c r="B25" i="39"/>
  <c r="B31" i="39"/>
  <c r="B40" i="39"/>
  <c r="E40" i="39" s="1"/>
  <c r="B48" i="39"/>
  <c r="D49" i="39"/>
  <c r="D50" i="39"/>
  <c r="D54" i="39"/>
  <c r="H64" i="39"/>
  <c r="B63" i="39"/>
  <c r="F64" i="39"/>
  <c r="D72" i="39"/>
  <c r="H91" i="39"/>
  <c r="F91" i="39"/>
  <c r="E101" i="39"/>
  <c r="C95" i="39"/>
  <c r="D101" i="39"/>
  <c r="J109" i="39"/>
  <c r="J93" i="39"/>
  <c r="J103" i="39"/>
  <c r="D120" i="39"/>
  <c r="H52" i="39"/>
  <c r="H56" i="39"/>
  <c r="G67" i="39"/>
  <c r="E80" i="39"/>
  <c r="E92" i="39"/>
  <c r="G94" i="39"/>
  <c r="E96" i="39"/>
  <c r="G106" i="39"/>
  <c r="G109" i="39"/>
  <c r="G130" i="39"/>
  <c r="G140" i="39"/>
  <c r="E143" i="39"/>
  <c r="G54" i="39"/>
  <c r="G61" i="39"/>
  <c r="D67" i="39"/>
  <c r="G72" i="39"/>
  <c r="D94" i="39"/>
  <c r="G99" i="39"/>
  <c r="D106" i="39"/>
  <c r="D109" i="39"/>
  <c r="G117" i="39"/>
  <c r="G120" i="39"/>
  <c r="C127" i="39"/>
  <c r="D130" i="39"/>
  <c r="E93" i="38"/>
  <c r="D107" i="38"/>
  <c r="H107" i="38" s="1"/>
  <c r="I12" i="38"/>
  <c r="G12" i="38"/>
  <c r="F26" i="38"/>
  <c r="E26" i="38"/>
  <c r="H26" i="38"/>
  <c r="E12" i="38"/>
  <c r="H13" i="38"/>
  <c r="G16" i="38"/>
  <c r="H20" i="38"/>
  <c r="H52" i="38"/>
  <c r="E92" i="38"/>
  <c r="I96" i="38"/>
  <c r="B90" i="38"/>
  <c r="G96" i="38"/>
  <c r="F12" i="38"/>
  <c r="K12" i="38"/>
  <c r="I13" i="38"/>
  <c r="I20" i="38"/>
  <c r="C27" i="38"/>
  <c r="K27" i="38" s="1"/>
  <c r="E29" i="38"/>
  <c r="I29" i="38"/>
  <c r="C33" i="38"/>
  <c r="K33" i="38" s="1"/>
  <c r="H33" i="38"/>
  <c r="H34" i="38"/>
  <c r="I54" i="38"/>
  <c r="E54" i="38"/>
  <c r="G54" i="38"/>
  <c r="F56" i="38"/>
  <c r="E56" i="38"/>
  <c r="E58" i="38"/>
  <c r="G66" i="38"/>
  <c r="K99" i="38"/>
  <c r="C98" i="38"/>
  <c r="K98" i="38" s="1"/>
  <c r="K130" i="38"/>
  <c r="C129" i="38"/>
  <c r="K129" i="38" s="1"/>
  <c r="D155" i="38"/>
  <c r="F146" i="38"/>
  <c r="E146" i="38"/>
  <c r="I75" i="38"/>
  <c r="E75" i="38"/>
  <c r="B74" i="38"/>
  <c r="G75" i="38"/>
  <c r="B51" i="38"/>
  <c r="I82" i="38"/>
  <c r="E82" i="38"/>
  <c r="G82" i="38"/>
  <c r="I92" i="38"/>
  <c r="G92" i="38"/>
  <c r="F94" i="38"/>
  <c r="E94" i="38"/>
  <c r="F98" i="38"/>
  <c r="E98" i="38"/>
  <c r="K115" i="38"/>
  <c r="C114" i="38"/>
  <c r="K114" i="38" s="1"/>
  <c r="F129" i="38"/>
  <c r="E129" i="38"/>
  <c r="G13" i="38"/>
  <c r="E33" i="38"/>
  <c r="F52" i="38"/>
  <c r="E52" i="38"/>
  <c r="I58" i="38"/>
  <c r="G58" i="38"/>
  <c r="K74" i="38"/>
  <c r="L71" i="38"/>
  <c r="C50" i="38"/>
  <c r="K50" i="38" s="1"/>
  <c r="K91" i="38"/>
  <c r="H129" i="38"/>
  <c r="I143" i="38"/>
  <c r="E143" i="38"/>
  <c r="G143" i="38"/>
  <c r="H27" i="38"/>
  <c r="K104" i="38"/>
  <c r="C96" i="38"/>
  <c r="C90" i="38" s="1"/>
  <c r="K90" i="38" s="1"/>
  <c r="K107" i="38"/>
  <c r="C106" i="38"/>
  <c r="K106" i="38" s="1"/>
  <c r="K123" i="38"/>
  <c r="C122" i="38"/>
  <c r="K122" i="38" s="1"/>
  <c r="K138" i="38"/>
  <c r="C137" i="38"/>
  <c r="K137" i="38" s="1"/>
  <c r="H35" i="38"/>
  <c r="G44" i="38"/>
  <c r="F45" i="38"/>
  <c r="G48" i="38"/>
  <c r="F51" i="38"/>
  <c r="I52" i="38"/>
  <c r="F55" i="38"/>
  <c r="I56" i="38"/>
  <c r="F59" i="38"/>
  <c r="F67" i="38"/>
  <c r="F83" i="38"/>
  <c r="F93" i="38"/>
  <c r="I94" i="38"/>
  <c r="H95" i="38"/>
  <c r="F97" i="38"/>
  <c r="I98" i="38"/>
  <c r="H99" i="38"/>
  <c r="I106" i="38"/>
  <c r="H112" i="38"/>
  <c r="I129" i="38"/>
  <c r="I137" i="38"/>
  <c r="H138" i="38"/>
  <c r="F148" i="38"/>
  <c r="B34" i="38"/>
  <c r="F34" i="38" s="1"/>
  <c r="I35" i="38"/>
  <c r="E53" i="38"/>
  <c r="I53" i="38"/>
  <c r="E57" i="38"/>
  <c r="I57" i="38"/>
  <c r="H58" i="38"/>
  <c r="H66" i="38"/>
  <c r="H92" i="38"/>
  <c r="E95" i="38"/>
  <c r="E99" i="38"/>
  <c r="E115" i="38"/>
  <c r="I115" i="38"/>
  <c r="B122" i="38"/>
  <c r="E123" i="38"/>
  <c r="I123" i="38"/>
  <c r="E130" i="38"/>
  <c r="I130" i="38"/>
  <c r="E138" i="38"/>
  <c r="E144" i="38"/>
  <c r="K163" i="37"/>
  <c r="I163" i="37"/>
  <c r="K162" i="37"/>
  <c r="I162" i="37"/>
  <c r="K161" i="37"/>
  <c r="I161" i="37"/>
  <c r="K160" i="37"/>
  <c r="I160" i="37"/>
  <c r="D109" i="37"/>
  <c r="D30" i="39" l="1"/>
  <c r="E53" i="39"/>
  <c r="C27" i="39"/>
  <c r="G27" i="39" s="1"/>
  <c r="G53" i="39"/>
  <c r="J39" i="39"/>
  <c r="E43" i="38"/>
  <c r="E114" i="38"/>
  <c r="E137" i="38"/>
  <c r="F28" i="38"/>
  <c r="G27" i="38"/>
  <c r="I27" i="38"/>
  <c r="I91" i="38"/>
  <c r="G91" i="38"/>
  <c r="H12" i="38"/>
  <c r="D159" i="38"/>
  <c r="F96" i="38"/>
  <c r="D30" i="38"/>
  <c r="F137" i="38"/>
  <c r="E28" i="38"/>
  <c r="E66" i="38"/>
  <c r="F66" i="38"/>
  <c r="D50" i="38"/>
  <c r="H50" i="38" s="1"/>
  <c r="G26" i="38"/>
  <c r="I26" i="38"/>
  <c r="G33" i="38"/>
  <c r="I33" i="38"/>
  <c r="C25" i="38"/>
  <c r="K25" i="38" s="1"/>
  <c r="G43" i="38"/>
  <c r="I43" i="38"/>
  <c r="B42" i="38"/>
  <c r="I114" i="38"/>
  <c r="F114" i="38"/>
  <c r="E96" i="38"/>
  <c r="C103" i="39"/>
  <c r="D103" i="39" s="1"/>
  <c r="F9" i="39"/>
  <c r="E90" i="39"/>
  <c r="D90" i="39"/>
  <c r="G90" i="39"/>
  <c r="G104" i="39"/>
  <c r="D104" i="39"/>
  <c r="E64" i="39"/>
  <c r="D51" i="39"/>
  <c r="C48" i="39"/>
  <c r="E48" i="39" s="1"/>
  <c r="G64" i="39"/>
  <c r="E51" i="39"/>
  <c r="D64" i="39"/>
  <c r="J9" i="39"/>
  <c r="E119" i="39"/>
  <c r="H95" i="39"/>
  <c r="G119" i="39"/>
  <c r="G24" i="39"/>
  <c r="D24" i="39"/>
  <c r="F26" i="39"/>
  <c r="D119" i="39"/>
  <c r="H134" i="39"/>
  <c r="F103" i="39"/>
  <c r="H103" i="39"/>
  <c r="J47" i="39"/>
  <c r="H79" i="39"/>
  <c r="D79" i="39"/>
  <c r="E140" i="39"/>
  <c r="F111" i="39"/>
  <c r="H111" i="39"/>
  <c r="E79" i="39"/>
  <c r="F55" i="39"/>
  <c r="H55" i="39"/>
  <c r="F27" i="38"/>
  <c r="G14" i="39"/>
  <c r="E14" i="39"/>
  <c r="D14" i="39"/>
  <c r="D10" i="39"/>
  <c r="E10" i="39"/>
  <c r="C13" i="39"/>
  <c r="G23" i="39"/>
  <c r="E23" i="39"/>
  <c r="D23" i="39"/>
  <c r="E30" i="39"/>
  <c r="H48" i="39"/>
  <c r="F48" i="39"/>
  <c r="H31" i="39"/>
  <c r="F31" i="39"/>
  <c r="E112" i="39"/>
  <c r="D112" i="39"/>
  <c r="G112" i="39"/>
  <c r="C111" i="39"/>
  <c r="J88" i="39"/>
  <c r="J87" i="39"/>
  <c r="D40" i="39"/>
  <c r="J27" i="39"/>
  <c r="H119" i="39"/>
  <c r="F119" i="39"/>
  <c r="H23" i="39"/>
  <c r="F23" i="39"/>
  <c r="H63" i="39"/>
  <c r="D63" i="39"/>
  <c r="F63" i="39"/>
  <c r="B47" i="39"/>
  <c r="F30" i="39"/>
  <c r="H30" i="39"/>
  <c r="H71" i="39"/>
  <c r="F71" i="39"/>
  <c r="D71" i="39"/>
  <c r="E71" i="39"/>
  <c r="F25" i="39"/>
  <c r="H25" i="39"/>
  <c r="C88" i="39"/>
  <c r="D26" i="39"/>
  <c r="G26" i="39"/>
  <c r="E26" i="39"/>
  <c r="H140" i="39"/>
  <c r="F140" i="39"/>
  <c r="G135" i="39"/>
  <c r="E135" i="39"/>
  <c r="D135" i="39"/>
  <c r="E63" i="39"/>
  <c r="F27" i="39"/>
  <c r="H27" i="39"/>
  <c r="D95" i="39"/>
  <c r="G95" i="39"/>
  <c r="E95" i="39"/>
  <c r="F24" i="39"/>
  <c r="H24" i="39"/>
  <c r="D127" i="39"/>
  <c r="G127" i="39"/>
  <c r="C126" i="39"/>
  <c r="E127" i="39"/>
  <c r="H40" i="39"/>
  <c r="B39" i="39"/>
  <c r="F40" i="39"/>
  <c r="B22" i="39"/>
  <c r="D91" i="39"/>
  <c r="G91" i="39"/>
  <c r="E91" i="39"/>
  <c r="C25" i="39"/>
  <c r="H126" i="39"/>
  <c r="F126" i="39"/>
  <c r="D32" i="39"/>
  <c r="E32" i="39"/>
  <c r="G32" i="39"/>
  <c r="E24" i="39"/>
  <c r="F88" i="39"/>
  <c r="H88" i="39"/>
  <c r="B87" i="39"/>
  <c r="G55" i="39"/>
  <c r="E55" i="39"/>
  <c r="D55" i="39"/>
  <c r="C47" i="39"/>
  <c r="F107" i="38"/>
  <c r="D106" i="38"/>
  <c r="D91" i="38"/>
  <c r="E107" i="38"/>
  <c r="G122" i="38"/>
  <c r="I122" i="38"/>
  <c r="G90" i="38"/>
  <c r="I90" i="38"/>
  <c r="K96" i="38"/>
  <c r="C30" i="38"/>
  <c r="F74" i="38"/>
  <c r="I74" i="38"/>
  <c r="E74" i="38"/>
  <c r="G74" i="38"/>
  <c r="F122" i="38"/>
  <c r="G34" i="38"/>
  <c r="I34" i="38"/>
  <c r="G51" i="38"/>
  <c r="I51" i="38"/>
  <c r="E51" i="38"/>
  <c r="B25" i="38"/>
  <c r="E122" i="38"/>
  <c r="B50" i="38"/>
  <c r="E34" i="38"/>
  <c r="D38" i="37"/>
  <c r="F38" i="37" s="1"/>
  <c r="D140" i="37"/>
  <c r="F140" i="37" s="1"/>
  <c r="D118" i="37"/>
  <c r="H118" i="37" s="1"/>
  <c r="D133" i="37"/>
  <c r="E133" i="37" s="1"/>
  <c r="D102" i="37"/>
  <c r="E102" i="37" s="1"/>
  <c r="D86" i="37"/>
  <c r="D70" i="37"/>
  <c r="F70" i="37" s="1"/>
  <c r="D62" i="37"/>
  <c r="H62" i="37" s="1"/>
  <c r="N87" i="37"/>
  <c r="N63" i="37"/>
  <c r="K156" i="37"/>
  <c r="I156" i="37"/>
  <c r="K155" i="37"/>
  <c r="I155" i="37"/>
  <c r="K154" i="37"/>
  <c r="I154" i="37"/>
  <c r="K153" i="37"/>
  <c r="I153" i="37"/>
  <c r="K152" i="37"/>
  <c r="I152" i="37"/>
  <c r="K150" i="37"/>
  <c r="I150" i="37"/>
  <c r="H150" i="37"/>
  <c r="G150" i="37"/>
  <c r="F150" i="37"/>
  <c r="E150" i="37"/>
  <c r="K149" i="37"/>
  <c r="I149" i="37"/>
  <c r="H149" i="37"/>
  <c r="G149" i="37"/>
  <c r="F149" i="37"/>
  <c r="E149" i="37"/>
  <c r="D148" i="37"/>
  <c r="H148" i="37" s="1"/>
  <c r="C148" i="37"/>
  <c r="K148" i="37" s="1"/>
  <c r="B148" i="37"/>
  <c r="G148" i="37" s="1"/>
  <c r="K147" i="37"/>
  <c r="I147" i="37"/>
  <c r="H147" i="37"/>
  <c r="G147" i="37"/>
  <c r="F147" i="37"/>
  <c r="E147" i="37"/>
  <c r="D146" i="37"/>
  <c r="H146" i="37" s="1"/>
  <c r="C146" i="37"/>
  <c r="K146" i="37" s="1"/>
  <c r="B146" i="37"/>
  <c r="I146" i="37" s="1"/>
  <c r="K145" i="37"/>
  <c r="I145" i="37"/>
  <c r="H145" i="37"/>
  <c r="G145" i="37"/>
  <c r="F145" i="37"/>
  <c r="E145" i="37"/>
  <c r="K144" i="37"/>
  <c r="H144" i="37"/>
  <c r="B144" i="37"/>
  <c r="I144" i="37" s="1"/>
  <c r="D143" i="37"/>
  <c r="H143" i="37" s="1"/>
  <c r="C143" i="37"/>
  <c r="K143" i="37" s="1"/>
  <c r="K142" i="37"/>
  <c r="I142" i="37"/>
  <c r="H142" i="37"/>
  <c r="G142" i="37"/>
  <c r="F142" i="37"/>
  <c r="E142" i="37"/>
  <c r="K141" i="37"/>
  <c r="I141" i="37"/>
  <c r="K140" i="37"/>
  <c r="I140" i="37"/>
  <c r="G140" i="37"/>
  <c r="K139" i="37"/>
  <c r="I139" i="37"/>
  <c r="H139" i="37"/>
  <c r="G139" i="37"/>
  <c r="F139" i="37"/>
  <c r="E139" i="37"/>
  <c r="C138" i="37"/>
  <c r="B138" i="37"/>
  <c r="G138" i="37" s="1"/>
  <c r="K136" i="37"/>
  <c r="I136" i="37"/>
  <c r="H136" i="37"/>
  <c r="G136" i="37"/>
  <c r="F136" i="37"/>
  <c r="E136" i="37"/>
  <c r="I135" i="37"/>
  <c r="G135" i="37"/>
  <c r="D135" i="37"/>
  <c r="E135" i="37" s="1"/>
  <c r="C135" i="37"/>
  <c r="K135" i="37" s="1"/>
  <c r="K134" i="37"/>
  <c r="I134" i="37"/>
  <c r="H134" i="37"/>
  <c r="G134" i="37"/>
  <c r="F134" i="37"/>
  <c r="E134" i="37"/>
  <c r="K133" i="37"/>
  <c r="I133" i="37"/>
  <c r="G133" i="37"/>
  <c r="K132" i="37"/>
  <c r="I132" i="37"/>
  <c r="H132" i="37"/>
  <c r="G132" i="37"/>
  <c r="F132" i="37"/>
  <c r="E132" i="37"/>
  <c r="K131" i="37"/>
  <c r="I131" i="37"/>
  <c r="H131" i="37"/>
  <c r="G131" i="37"/>
  <c r="F131" i="37"/>
  <c r="E131" i="37"/>
  <c r="C130" i="37"/>
  <c r="B130" i="37"/>
  <c r="G130" i="37" s="1"/>
  <c r="K128" i="37"/>
  <c r="I128" i="37"/>
  <c r="H128" i="37"/>
  <c r="G128" i="37"/>
  <c r="F128" i="37"/>
  <c r="E128" i="37"/>
  <c r="K127" i="37"/>
  <c r="I127" i="37"/>
  <c r="H127" i="37"/>
  <c r="G127" i="37"/>
  <c r="F127" i="37"/>
  <c r="E127" i="37"/>
  <c r="K126" i="37"/>
  <c r="I126" i="37"/>
  <c r="H126" i="37"/>
  <c r="G126" i="37"/>
  <c r="F126" i="37"/>
  <c r="E126" i="37"/>
  <c r="K125" i="37"/>
  <c r="I125" i="37"/>
  <c r="H125" i="37"/>
  <c r="G125" i="37"/>
  <c r="F125" i="37"/>
  <c r="E125" i="37"/>
  <c r="K124" i="37"/>
  <c r="I124" i="37"/>
  <c r="H124" i="37"/>
  <c r="G124" i="37"/>
  <c r="F124" i="37"/>
  <c r="E124" i="37"/>
  <c r="D123" i="37"/>
  <c r="C123" i="37"/>
  <c r="B123" i="37"/>
  <c r="I123" i="37" s="1"/>
  <c r="K121" i="37"/>
  <c r="I121" i="37"/>
  <c r="H121" i="37"/>
  <c r="G121" i="37"/>
  <c r="F121" i="37"/>
  <c r="E121" i="37"/>
  <c r="I120" i="37"/>
  <c r="G120" i="37"/>
  <c r="D120" i="37"/>
  <c r="F120" i="37" s="1"/>
  <c r="C120" i="37"/>
  <c r="K120" i="37" s="1"/>
  <c r="K119" i="37"/>
  <c r="I119" i="37"/>
  <c r="H119" i="37"/>
  <c r="G119" i="37"/>
  <c r="F119" i="37"/>
  <c r="E119" i="37"/>
  <c r="K118" i="37"/>
  <c r="I118" i="37"/>
  <c r="G118" i="37"/>
  <c r="E118" i="37"/>
  <c r="K117" i="37"/>
  <c r="I117" i="37"/>
  <c r="H117" i="37"/>
  <c r="G117" i="37"/>
  <c r="F117" i="37"/>
  <c r="E117" i="37"/>
  <c r="K116" i="37"/>
  <c r="I116" i="37"/>
  <c r="H116" i="37"/>
  <c r="G116" i="37"/>
  <c r="F116" i="37"/>
  <c r="E116" i="37"/>
  <c r="C115" i="37"/>
  <c r="B115" i="37"/>
  <c r="K113" i="37"/>
  <c r="I113" i="37"/>
  <c r="H113" i="37"/>
  <c r="G113" i="37"/>
  <c r="F113" i="37"/>
  <c r="E113" i="37"/>
  <c r="I112" i="37"/>
  <c r="G112" i="37"/>
  <c r="D112" i="37"/>
  <c r="F112" i="37" s="1"/>
  <c r="C112" i="37"/>
  <c r="K112" i="37" s="1"/>
  <c r="K111" i="37"/>
  <c r="I111" i="37"/>
  <c r="H111" i="37"/>
  <c r="G111" i="37"/>
  <c r="F111" i="37"/>
  <c r="E111" i="37"/>
  <c r="K110" i="37"/>
  <c r="I110" i="37"/>
  <c r="H110" i="37"/>
  <c r="G110" i="37"/>
  <c r="F110" i="37"/>
  <c r="E110" i="37"/>
  <c r="K109" i="37"/>
  <c r="I109" i="37"/>
  <c r="H109" i="37"/>
  <c r="G109" i="37"/>
  <c r="F109" i="37"/>
  <c r="E109" i="37"/>
  <c r="K108" i="37"/>
  <c r="I108" i="37"/>
  <c r="H108" i="37"/>
  <c r="G108" i="37"/>
  <c r="F108" i="37"/>
  <c r="E108" i="37"/>
  <c r="D107" i="37"/>
  <c r="C107" i="37"/>
  <c r="B107" i="37"/>
  <c r="I107" i="37" s="1"/>
  <c r="K105" i="37"/>
  <c r="I105" i="37"/>
  <c r="H105" i="37"/>
  <c r="G105" i="37"/>
  <c r="F105" i="37"/>
  <c r="E105" i="37"/>
  <c r="I104" i="37"/>
  <c r="G104" i="37"/>
  <c r="D104" i="37"/>
  <c r="F104" i="37" s="1"/>
  <c r="C104" i="37"/>
  <c r="K103" i="37"/>
  <c r="I103" i="37"/>
  <c r="H103" i="37"/>
  <c r="G103" i="37"/>
  <c r="F103" i="37"/>
  <c r="E103" i="37"/>
  <c r="K102" i="37"/>
  <c r="I102" i="37"/>
  <c r="G102" i="37"/>
  <c r="K101" i="37"/>
  <c r="I101" i="37"/>
  <c r="H101" i="37"/>
  <c r="G101" i="37"/>
  <c r="F101" i="37"/>
  <c r="E101" i="37"/>
  <c r="K100" i="37"/>
  <c r="I100" i="37"/>
  <c r="H100" i="37"/>
  <c r="G100" i="37"/>
  <c r="F100" i="37"/>
  <c r="E100" i="37"/>
  <c r="C99" i="37"/>
  <c r="B99" i="37"/>
  <c r="D97" i="37"/>
  <c r="H97" i="37" s="1"/>
  <c r="C97" i="37"/>
  <c r="K97" i="37" s="1"/>
  <c r="B97" i="37"/>
  <c r="G97" i="37" s="1"/>
  <c r="B96" i="37"/>
  <c r="D95" i="37"/>
  <c r="C95" i="37"/>
  <c r="K95" i="37" s="1"/>
  <c r="B95" i="37"/>
  <c r="C94" i="37"/>
  <c r="K94" i="37" s="1"/>
  <c r="B94" i="37"/>
  <c r="I94" i="37" s="1"/>
  <c r="D93" i="37"/>
  <c r="H93" i="37" s="1"/>
  <c r="C93" i="37"/>
  <c r="K93" i="37" s="1"/>
  <c r="B93" i="37"/>
  <c r="G93" i="37" s="1"/>
  <c r="D92" i="37"/>
  <c r="H92" i="37" s="1"/>
  <c r="C92" i="37"/>
  <c r="K92" i="37" s="1"/>
  <c r="B92" i="37"/>
  <c r="B91" i="37"/>
  <c r="G91" i="37" s="1"/>
  <c r="K89" i="37"/>
  <c r="I89" i="37"/>
  <c r="H89" i="37"/>
  <c r="G89" i="37"/>
  <c r="F89" i="37"/>
  <c r="E89" i="37"/>
  <c r="K88" i="37"/>
  <c r="I88" i="37"/>
  <c r="H88" i="37"/>
  <c r="G88" i="37"/>
  <c r="F88" i="37"/>
  <c r="E88" i="37"/>
  <c r="K87" i="37"/>
  <c r="I87" i="37"/>
  <c r="H87" i="37"/>
  <c r="G87" i="37"/>
  <c r="F87" i="37"/>
  <c r="E87" i="37"/>
  <c r="K86" i="37"/>
  <c r="I86" i="37"/>
  <c r="H86" i="37"/>
  <c r="G86" i="37"/>
  <c r="F86" i="37"/>
  <c r="E86" i="37"/>
  <c r="K85" i="37"/>
  <c r="I85" i="37"/>
  <c r="H85" i="37"/>
  <c r="G85" i="37"/>
  <c r="F85" i="37"/>
  <c r="E85" i="37"/>
  <c r="K84" i="37"/>
  <c r="I84" i="37"/>
  <c r="H84" i="37"/>
  <c r="G84" i="37"/>
  <c r="F84" i="37"/>
  <c r="E84" i="37"/>
  <c r="D83" i="37"/>
  <c r="H83" i="37" s="1"/>
  <c r="C83" i="37"/>
  <c r="K83" i="37" s="1"/>
  <c r="B83" i="37"/>
  <c r="G83" i="37" s="1"/>
  <c r="C82" i="37"/>
  <c r="K82" i="37" s="1"/>
  <c r="K81" i="37"/>
  <c r="I81" i="37"/>
  <c r="H81" i="37"/>
  <c r="G81" i="37"/>
  <c r="F81" i="37"/>
  <c r="E81" i="37"/>
  <c r="K80" i="37"/>
  <c r="I80" i="37"/>
  <c r="H80" i="37"/>
  <c r="G80" i="37"/>
  <c r="E80" i="37"/>
  <c r="K79" i="37"/>
  <c r="I79" i="37"/>
  <c r="H79" i="37"/>
  <c r="G79" i="37"/>
  <c r="F79" i="37"/>
  <c r="E79" i="37"/>
  <c r="K78" i="37"/>
  <c r="I78" i="37"/>
  <c r="H78" i="37"/>
  <c r="G78" i="37"/>
  <c r="F78" i="37"/>
  <c r="E78" i="37"/>
  <c r="K77" i="37"/>
  <c r="I77" i="37"/>
  <c r="H77" i="37"/>
  <c r="G77" i="37"/>
  <c r="F77" i="37"/>
  <c r="E77" i="37"/>
  <c r="K76" i="37"/>
  <c r="I76" i="37"/>
  <c r="H76" i="37"/>
  <c r="G76" i="37"/>
  <c r="F76" i="37"/>
  <c r="E76" i="37"/>
  <c r="D75" i="37"/>
  <c r="H75" i="37" s="1"/>
  <c r="C75" i="37"/>
  <c r="K75" i="37" s="1"/>
  <c r="B75" i="37"/>
  <c r="K73" i="37"/>
  <c r="I73" i="37"/>
  <c r="H73" i="37"/>
  <c r="G73" i="37"/>
  <c r="F73" i="37"/>
  <c r="E73" i="37"/>
  <c r="K72" i="37"/>
  <c r="I72" i="37"/>
  <c r="H72" i="37"/>
  <c r="G72" i="37"/>
  <c r="F72" i="37"/>
  <c r="E72" i="37"/>
  <c r="K71" i="37"/>
  <c r="I71" i="37"/>
  <c r="H71" i="37"/>
  <c r="G71" i="37"/>
  <c r="F71" i="37"/>
  <c r="E71" i="37"/>
  <c r="K70" i="37"/>
  <c r="I70" i="37"/>
  <c r="H70" i="37"/>
  <c r="G70" i="37"/>
  <c r="E70" i="37"/>
  <c r="K69" i="37"/>
  <c r="I69" i="37"/>
  <c r="H69" i="37"/>
  <c r="G69" i="37"/>
  <c r="F69" i="37"/>
  <c r="E69" i="37"/>
  <c r="K68" i="37"/>
  <c r="I68" i="37"/>
  <c r="H68" i="37"/>
  <c r="G68" i="37"/>
  <c r="F68" i="37"/>
  <c r="E68" i="37"/>
  <c r="D67" i="37"/>
  <c r="H67" i="37" s="1"/>
  <c r="C67" i="37"/>
  <c r="K67" i="37" s="1"/>
  <c r="B67" i="37"/>
  <c r="G67" i="37" s="1"/>
  <c r="K65" i="37"/>
  <c r="I65" i="37"/>
  <c r="H65" i="37"/>
  <c r="G65" i="37"/>
  <c r="F65" i="37"/>
  <c r="E65" i="37"/>
  <c r="I64" i="37"/>
  <c r="G64" i="37"/>
  <c r="D64" i="37"/>
  <c r="H64" i="37" s="1"/>
  <c r="C64" i="37"/>
  <c r="K64" i="37" s="1"/>
  <c r="K63" i="37"/>
  <c r="I63" i="37"/>
  <c r="H63" i="37"/>
  <c r="G63" i="37"/>
  <c r="F63" i="37"/>
  <c r="E63" i="37"/>
  <c r="K62" i="37"/>
  <c r="I62" i="37"/>
  <c r="G62" i="37"/>
  <c r="E62" i="37"/>
  <c r="K61" i="37"/>
  <c r="I61" i="37"/>
  <c r="H61" i="37"/>
  <c r="G61" i="37"/>
  <c r="F61" i="37"/>
  <c r="E61" i="37"/>
  <c r="K60" i="37"/>
  <c r="I60" i="37"/>
  <c r="H60" i="37"/>
  <c r="G60" i="37"/>
  <c r="F60" i="37"/>
  <c r="E60" i="37"/>
  <c r="C59" i="37"/>
  <c r="B59" i="37"/>
  <c r="G59" i="37" s="1"/>
  <c r="B58" i="37"/>
  <c r="D57" i="37"/>
  <c r="D33" i="37" s="1"/>
  <c r="C57" i="37"/>
  <c r="K57" i="37" s="1"/>
  <c r="B57" i="37"/>
  <c r="D56" i="37"/>
  <c r="B56" i="37"/>
  <c r="I56" i="37" s="1"/>
  <c r="D55" i="37"/>
  <c r="H55" i="37" s="1"/>
  <c r="C55" i="37"/>
  <c r="K55" i="37" s="1"/>
  <c r="B55" i="37"/>
  <c r="G55" i="37" s="1"/>
  <c r="C54" i="37"/>
  <c r="K54" i="37" s="1"/>
  <c r="B54" i="37"/>
  <c r="G54" i="37" s="1"/>
  <c r="D53" i="37"/>
  <c r="H53" i="37" s="1"/>
  <c r="C53" i="37"/>
  <c r="K53" i="37" s="1"/>
  <c r="B53" i="37"/>
  <c r="I53" i="37" s="1"/>
  <c r="D52" i="37"/>
  <c r="C52" i="37"/>
  <c r="K52" i="37" s="1"/>
  <c r="B52" i="37"/>
  <c r="G52" i="37" s="1"/>
  <c r="K49" i="37"/>
  <c r="H49" i="37"/>
  <c r="B49" i="37"/>
  <c r="G49" i="37" s="1"/>
  <c r="K48" i="37"/>
  <c r="H48" i="37"/>
  <c r="B48" i="37"/>
  <c r="F48" i="37" s="1"/>
  <c r="K47" i="37"/>
  <c r="I47" i="37"/>
  <c r="H47" i="37"/>
  <c r="G47" i="37"/>
  <c r="F47" i="37"/>
  <c r="E47" i="37"/>
  <c r="K46" i="37"/>
  <c r="I46" i="37"/>
  <c r="H46" i="37"/>
  <c r="G46" i="37"/>
  <c r="F46" i="37"/>
  <c r="E46" i="37"/>
  <c r="D45" i="37"/>
  <c r="H45" i="37" s="1"/>
  <c r="C45" i="37"/>
  <c r="K45" i="37" s="1"/>
  <c r="B45" i="37"/>
  <c r="G45" i="37" s="1"/>
  <c r="K44" i="37"/>
  <c r="H44" i="37"/>
  <c r="B44" i="37"/>
  <c r="G44" i="37" s="1"/>
  <c r="K41" i="37"/>
  <c r="I41" i="37"/>
  <c r="H41" i="37"/>
  <c r="G41" i="37"/>
  <c r="F41" i="37"/>
  <c r="E41" i="37"/>
  <c r="K40" i="37"/>
  <c r="I40" i="37"/>
  <c r="H40" i="37"/>
  <c r="G40" i="37"/>
  <c r="F40" i="37"/>
  <c r="E40" i="37"/>
  <c r="K39" i="37"/>
  <c r="I39" i="37"/>
  <c r="H39" i="37"/>
  <c r="G39" i="37"/>
  <c r="F39" i="37"/>
  <c r="E39" i="37"/>
  <c r="K38" i="37"/>
  <c r="I38" i="37"/>
  <c r="G38" i="37"/>
  <c r="K37" i="37"/>
  <c r="I37" i="37"/>
  <c r="H37" i="37"/>
  <c r="G37" i="37"/>
  <c r="F37" i="37"/>
  <c r="E37" i="37"/>
  <c r="K36" i="37"/>
  <c r="I36" i="37"/>
  <c r="H36" i="37"/>
  <c r="G36" i="37"/>
  <c r="F36" i="37"/>
  <c r="E36" i="37"/>
  <c r="D35" i="37"/>
  <c r="H35" i="37" s="1"/>
  <c r="C35" i="37"/>
  <c r="C34" i="37" s="1"/>
  <c r="K34" i="37" s="1"/>
  <c r="B35" i="37"/>
  <c r="I35" i="37" s="1"/>
  <c r="K32" i="37"/>
  <c r="I32" i="37"/>
  <c r="H32" i="37"/>
  <c r="G32" i="37"/>
  <c r="F32" i="37"/>
  <c r="E32" i="37"/>
  <c r="K31" i="37"/>
  <c r="I31" i="37"/>
  <c r="H31" i="37"/>
  <c r="G31" i="37"/>
  <c r="F31" i="37"/>
  <c r="E31" i="37"/>
  <c r="C29" i="37"/>
  <c r="K29" i="37" s="1"/>
  <c r="K23" i="37"/>
  <c r="I23" i="37"/>
  <c r="H23" i="37"/>
  <c r="G23" i="37"/>
  <c r="F23" i="37"/>
  <c r="E23" i="37"/>
  <c r="K22" i="37"/>
  <c r="I22" i="37"/>
  <c r="H22" i="37"/>
  <c r="G22" i="37"/>
  <c r="F22" i="37"/>
  <c r="E22" i="37"/>
  <c r="K21" i="37"/>
  <c r="I21" i="37"/>
  <c r="H21" i="37"/>
  <c r="G21" i="37"/>
  <c r="F21" i="37"/>
  <c r="E21" i="37"/>
  <c r="D20" i="37"/>
  <c r="H20" i="37" s="1"/>
  <c r="C20" i="37"/>
  <c r="K20" i="37" s="1"/>
  <c r="B20" i="37"/>
  <c r="I20" i="37" s="1"/>
  <c r="K19" i="37"/>
  <c r="I19" i="37"/>
  <c r="H19" i="37"/>
  <c r="G19" i="37"/>
  <c r="F19" i="37"/>
  <c r="E19" i="37"/>
  <c r="I18" i="37"/>
  <c r="G18" i="37"/>
  <c r="D18" i="37"/>
  <c r="H18" i="37" s="1"/>
  <c r="C18" i="37"/>
  <c r="K18" i="37" s="1"/>
  <c r="I17" i="37"/>
  <c r="G17" i="37"/>
  <c r="D17" i="37"/>
  <c r="H17" i="37" s="1"/>
  <c r="C17" i="37"/>
  <c r="K17" i="37" s="1"/>
  <c r="B16" i="37"/>
  <c r="G16" i="37" s="1"/>
  <c r="K15" i="37"/>
  <c r="I15" i="37"/>
  <c r="H15" i="37"/>
  <c r="G15" i="37"/>
  <c r="F15" i="37"/>
  <c r="E15" i="37"/>
  <c r="K14" i="37"/>
  <c r="I14" i="37"/>
  <c r="H14" i="37"/>
  <c r="G14" i="37"/>
  <c r="F14" i="37"/>
  <c r="E14" i="37"/>
  <c r="D13" i="37"/>
  <c r="H13" i="37" s="1"/>
  <c r="C13" i="37"/>
  <c r="K13" i="37" s="1"/>
  <c r="B13" i="37"/>
  <c r="I13" i="37" s="1"/>
  <c r="K11" i="37"/>
  <c r="I11" i="37"/>
  <c r="K10" i="37"/>
  <c r="I10" i="37"/>
  <c r="I9" i="37"/>
  <c r="D9" i="37"/>
  <c r="C9" i="37"/>
  <c r="K9" i="37" s="1"/>
  <c r="K8" i="37"/>
  <c r="I8" i="37"/>
  <c r="F8" i="37"/>
  <c r="E8" i="37"/>
  <c r="K7" i="37"/>
  <c r="I7" i="37"/>
  <c r="K6" i="37"/>
  <c r="I6" i="37"/>
  <c r="E27" i="39" l="1"/>
  <c r="D27" i="39"/>
  <c r="E103" i="39"/>
  <c r="G103" i="39"/>
  <c r="C22" i="39"/>
  <c r="E22" i="39" s="1"/>
  <c r="D13" i="39"/>
  <c r="C9" i="39"/>
  <c r="H30" i="38"/>
  <c r="F30" i="38"/>
  <c r="E30" i="38"/>
  <c r="F42" i="38"/>
  <c r="I42" i="38"/>
  <c r="E42" i="38"/>
  <c r="G42" i="38"/>
  <c r="G48" i="39"/>
  <c r="D48" i="39"/>
  <c r="G13" i="39"/>
  <c r="E13" i="39"/>
  <c r="F47" i="39"/>
  <c r="H47" i="39"/>
  <c r="E25" i="39"/>
  <c r="D25" i="39"/>
  <c r="G25" i="39"/>
  <c r="H22" i="39"/>
  <c r="B21" i="39"/>
  <c r="F22" i="39"/>
  <c r="E126" i="39"/>
  <c r="D126" i="39"/>
  <c r="G126" i="39"/>
  <c r="G88" i="39"/>
  <c r="C87" i="39"/>
  <c r="E88" i="39"/>
  <c r="D88" i="39"/>
  <c r="E47" i="39"/>
  <c r="D47" i="39"/>
  <c r="G47" i="39"/>
  <c r="E111" i="39"/>
  <c r="D111" i="39"/>
  <c r="G111" i="39"/>
  <c r="H87" i="39"/>
  <c r="F87" i="39"/>
  <c r="E31" i="39"/>
  <c r="D31" i="39"/>
  <c r="G31" i="39"/>
  <c r="F39" i="39"/>
  <c r="H39" i="39"/>
  <c r="E39" i="39"/>
  <c r="D39" i="39"/>
  <c r="J22" i="39"/>
  <c r="D134" i="39"/>
  <c r="G134" i="39"/>
  <c r="E134" i="39"/>
  <c r="H106" i="38"/>
  <c r="F106" i="38"/>
  <c r="E106" i="38"/>
  <c r="F91" i="38"/>
  <c r="D90" i="38"/>
  <c r="D25" i="38"/>
  <c r="E91" i="38"/>
  <c r="H91" i="38"/>
  <c r="I50" i="38"/>
  <c r="G50" i="38"/>
  <c r="F50" i="38"/>
  <c r="E50" i="38"/>
  <c r="G25" i="38"/>
  <c r="F25" i="38"/>
  <c r="I25" i="38"/>
  <c r="B24" i="38"/>
  <c r="C24" i="38"/>
  <c r="K30" i="38"/>
  <c r="F123" i="37"/>
  <c r="D29" i="37"/>
  <c r="H29" i="37" s="1"/>
  <c r="B33" i="37"/>
  <c r="I33" i="37" s="1"/>
  <c r="F62" i="37"/>
  <c r="D130" i="37"/>
  <c r="F130" i="37" s="1"/>
  <c r="C28" i="37"/>
  <c r="K28" i="37" s="1"/>
  <c r="H38" i="37"/>
  <c r="F102" i="37"/>
  <c r="F118" i="37"/>
  <c r="C26" i="37"/>
  <c r="K26" i="37" s="1"/>
  <c r="B29" i="37"/>
  <c r="I29" i="37" s="1"/>
  <c r="D54" i="37"/>
  <c r="H54" i="37" s="1"/>
  <c r="D59" i="37"/>
  <c r="H59" i="37" s="1"/>
  <c r="B82" i="37"/>
  <c r="I82" i="37" s="1"/>
  <c r="D26" i="37"/>
  <c r="H26" i="37" s="1"/>
  <c r="F57" i="37"/>
  <c r="E17" i="37"/>
  <c r="D27" i="37"/>
  <c r="H27" i="37" s="1"/>
  <c r="C43" i="37"/>
  <c r="K43" i="37" s="1"/>
  <c r="C58" i="37"/>
  <c r="K58" i="37" s="1"/>
  <c r="F95" i="37"/>
  <c r="C91" i="37"/>
  <c r="K91" i="37" s="1"/>
  <c r="H102" i="37"/>
  <c r="D99" i="37"/>
  <c r="F99" i="37" s="1"/>
  <c r="D106" i="37"/>
  <c r="H106" i="37" s="1"/>
  <c r="H133" i="37"/>
  <c r="D74" i="37"/>
  <c r="H74" i="37" s="1"/>
  <c r="D122" i="37"/>
  <c r="H122" i="37" s="1"/>
  <c r="B28" i="37"/>
  <c r="I28" i="37" s="1"/>
  <c r="C56" i="37"/>
  <c r="K56" i="37" s="1"/>
  <c r="F75" i="37"/>
  <c r="F52" i="37"/>
  <c r="D43" i="37"/>
  <c r="D42" i="37" s="1"/>
  <c r="H42" i="37" s="1"/>
  <c r="C16" i="37"/>
  <c r="C27" i="37"/>
  <c r="K27" i="37" s="1"/>
  <c r="C51" i="37"/>
  <c r="K51" i="37" s="1"/>
  <c r="C74" i="37"/>
  <c r="D96" i="37"/>
  <c r="H96" i="37" s="1"/>
  <c r="I45" i="37"/>
  <c r="E99" i="37"/>
  <c r="G146" i="37"/>
  <c r="I48" i="37"/>
  <c r="G94" i="37"/>
  <c r="F107" i="37"/>
  <c r="F135" i="37"/>
  <c r="E48" i="37"/>
  <c r="E52" i="37"/>
  <c r="E93" i="37"/>
  <c r="G48" i="37"/>
  <c r="I52" i="37"/>
  <c r="G56" i="37"/>
  <c r="E59" i="37"/>
  <c r="C66" i="37"/>
  <c r="K66" i="37" s="1"/>
  <c r="E130" i="37"/>
  <c r="E38" i="37"/>
  <c r="H140" i="37"/>
  <c r="D138" i="37"/>
  <c r="E140" i="37"/>
  <c r="D115" i="37"/>
  <c r="D114" i="37" s="1"/>
  <c r="H114" i="37" s="1"/>
  <c r="D94" i="37"/>
  <c r="F94" i="37" s="1"/>
  <c r="D129" i="37"/>
  <c r="H129" i="37" s="1"/>
  <c r="F133" i="37"/>
  <c r="D51" i="37"/>
  <c r="H51" i="37" s="1"/>
  <c r="F54" i="37"/>
  <c r="K59" i="37"/>
  <c r="I67" i="37"/>
  <c r="I16" i="37"/>
  <c r="E18" i="37"/>
  <c r="D34" i="37"/>
  <c r="H34" i="37" s="1"/>
  <c r="K35" i="37"/>
  <c r="E44" i="37"/>
  <c r="I55" i="37"/>
  <c r="B66" i="37"/>
  <c r="G66" i="37" s="1"/>
  <c r="E83" i="37"/>
  <c r="F92" i="37"/>
  <c r="I93" i="37"/>
  <c r="E97" i="37"/>
  <c r="G99" i="37"/>
  <c r="G107" i="37"/>
  <c r="G115" i="37"/>
  <c r="G123" i="37"/>
  <c r="F144" i="37"/>
  <c r="E148" i="37"/>
  <c r="E57" i="37"/>
  <c r="I83" i="37"/>
  <c r="E95" i="37"/>
  <c r="I97" i="37"/>
  <c r="G144" i="37"/>
  <c r="I148" i="37"/>
  <c r="C33" i="37"/>
  <c r="K33" i="37" s="1"/>
  <c r="D16" i="37"/>
  <c r="I44" i="37"/>
  <c r="F55" i="37"/>
  <c r="G57" i="37"/>
  <c r="I59" i="37"/>
  <c r="E64" i="37"/>
  <c r="E67" i="37"/>
  <c r="G95" i="37"/>
  <c r="B143" i="37"/>
  <c r="E143" i="37" s="1"/>
  <c r="G53" i="37"/>
  <c r="I58" i="37"/>
  <c r="G58" i="37"/>
  <c r="G13" i="37"/>
  <c r="F16" i="37"/>
  <c r="F17" i="37"/>
  <c r="F18" i="37"/>
  <c r="G20" i="37"/>
  <c r="B26" i="37"/>
  <c r="B30" i="37"/>
  <c r="G35" i="37"/>
  <c r="F44" i="37"/>
  <c r="E45" i="37"/>
  <c r="I49" i="37"/>
  <c r="E49" i="37"/>
  <c r="B51" i="37"/>
  <c r="I54" i="37"/>
  <c r="K99" i="37"/>
  <c r="C98" i="37"/>
  <c r="K98" i="37" s="1"/>
  <c r="K107" i="37"/>
  <c r="C106" i="37"/>
  <c r="K106" i="37" s="1"/>
  <c r="K115" i="37"/>
  <c r="C114" i="37"/>
  <c r="K114" i="37" s="1"/>
  <c r="K123" i="37"/>
  <c r="C122" i="37"/>
  <c r="K122" i="37" s="1"/>
  <c r="K130" i="37"/>
  <c r="C129" i="37"/>
  <c r="K129" i="37" s="1"/>
  <c r="H33" i="37"/>
  <c r="F35" i="37"/>
  <c r="F56" i="37"/>
  <c r="E56" i="37"/>
  <c r="K74" i="37"/>
  <c r="L71" i="37"/>
  <c r="B27" i="37"/>
  <c r="B43" i="37"/>
  <c r="F45" i="37"/>
  <c r="F49" i="37"/>
  <c r="H52" i="37"/>
  <c r="E53" i="37"/>
  <c r="E54" i="37"/>
  <c r="E55" i="37"/>
  <c r="H56" i="37"/>
  <c r="K138" i="37"/>
  <c r="C137" i="37"/>
  <c r="K137" i="37" s="1"/>
  <c r="F13" i="37"/>
  <c r="F20" i="37"/>
  <c r="I96" i="37"/>
  <c r="G96" i="37"/>
  <c r="K104" i="37"/>
  <c r="C96" i="37"/>
  <c r="B12" i="37"/>
  <c r="E13" i="37"/>
  <c r="E20" i="37"/>
  <c r="B34" i="37"/>
  <c r="E35" i="37"/>
  <c r="C50" i="37"/>
  <c r="K50" i="37" s="1"/>
  <c r="F53" i="37"/>
  <c r="I75" i="37"/>
  <c r="E75" i="37"/>
  <c r="B74" i="37"/>
  <c r="G75" i="37"/>
  <c r="I92" i="37"/>
  <c r="E92" i="37"/>
  <c r="G92" i="37"/>
  <c r="D155" i="37"/>
  <c r="F146" i="37"/>
  <c r="E146" i="37"/>
  <c r="H57" i="37"/>
  <c r="F59" i="37"/>
  <c r="F64" i="37"/>
  <c r="F67" i="37"/>
  <c r="F83" i="37"/>
  <c r="F93" i="37"/>
  <c r="H95" i="37"/>
  <c r="F97" i="37"/>
  <c r="H104" i="37"/>
  <c r="H107" i="37"/>
  <c r="H112" i="37"/>
  <c r="H120" i="37"/>
  <c r="H123" i="37"/>
  <c r="H130" i="37"/>
  <c r="H135" i="37"/>
  <c r="F148" i="37"/>
  <c r="I57" i="37"/>
  <c r="D58" i="37"/>
  <c r="D66" i="37"/>
  <c r="D82" i="37"/>
  <c r="B90" i="37"/>
  <c r="I91" i="37"/>
  <c r="I95" i="37"/>
  <c r="B98" i="37"/>
  <c r="I99" i="37"/>
  <c r="E104" i="37"/>
  <c r="B106" i="37"/>
  <c r="E107" i="37"/>
  <c r="E112" i="37"/>
  <c r="B114" i="37"/>
  <c r="I115" i="37"/>
  <c r="E120" i="37"/>
  <c r="B122" i="37"/>
  <c r="F122" i="37" s="1"/>
  <c r="E123" i="37"/>
  <c r="B129" i="37"/>
  <c r="I130" i="37"/>
  <c r="B137" i="37"/>
  <c r="I138" i="37"/>
  <c r="E144" i="37"/>
  <c r="D22" i="39" l="1"/>
  <c r="D21" i="39" s="1"/>
  <c r="C21" i="39"/>
  <c r="C148" i="39" s="1"/>
  <c r="G22" i="39"/>
  <c r="F26" i="37"/>
  <c r="G33" i="37"/>
  <c r="G82" i="37"/>
  <c r="E29" i="37"/>
  <c r="C90" i="37"/>
  <c r="K90" i="37" s="1"/>
  <c r="H43" i="37"/>
  <c r="E9" i="39"/>
  <c r="G9" i="39"/>
  <c r="D9" i="39"/>
  <c r="J21" i="39"/>
  <c r="J148" i="39"/>
  <c r="F21" i="39"/>
  <c r="H21" i="39"/>
  <c r="B148" i="39"/>
  <c r="D87" i="39"/>
  <c r="G87" i="39"/>
  <c r="E87" i="39"/>
  <c r="H25" i="38"/>
  <c r="D24" i="38"/>
  <c r="D160" i="38" s="1"/>
  <c r="D158" i="38" s="1"/>
  <c r="D161" i="38" s="1"/>
  <c r="E25" i="38"/>
  <c r="E24" i="38" s="1"/>
  <c r="H90" i="38"/>
  <c r="E90" i="38"/>
  <c r="F90" i="38"/>
  <c r="G24" i="38"/>
  <c r="I24" i="38"/>
  <c r="B151" i="38"/>
  <c r="F24" i="38"/>
  <c r="K24" i="38"/>
  <c r="C151" i="38"/>
  <c r="K151" i="38" s="1"/>
  <c r="E33" i="37"/>
  <c r="C42" i="37"/>
  <c r="K42" i="37" s="1"/>
  <c r="F29" i="37"/>
  <c r="F96" i="37"/>
  <c r="D30" i="37"/>
  <c r="H30" i="37" s="1"/>
  <c r="E96" i="37"/>
  <c r="E27" i="37"/>
  <c r="G143" i="37"/>
  <c r="G29" i="37"/>
  <c r="F33" i="37"/>
  <c r="F106" i="37"/>
  <c r="I66" i="37"/>
  <c r="D98" i="37"/>
  <c r="H98" i="37" s="1"/>
  <c r="E115" i="37"/>
  <c r="H99" i="37"/>
  <c r="I143" i="37"/>
  <c r="H115" i="37"/>
  <c r="C25" i="37"/>
  <c r="K25" i="37" s="1"/>
  <c r="G28" i="37"/>
  <c r="F114" i="37"/>
  <c r="D91" i="37"/>
  <c r="F91" i="37" s="1"/>
  <c r="K16" i="37"/>
  <c r="C12" i="37"/>
  <c r="K12" i="37" s="1"/>
  <c r="F115" i="37"/>
  <c r="F143" i="37"/>
  <c r="B50" i="37"/>
  <c r="I50" i="37" s="1"/>
  <c r="H138" i="37"/>
  <c r="F138" i="37"/>
  <c r="E138" i="37"/>
  <c r="D137" i="37"/>
  <c r="H137" i="37" s="1"/>
  <c r="H94" i="37"/>
  <c r="D28" i="37"/>
  <c r="E28" i="37" s="1"/>
  <c r="E94" i="37"/>
  <c r="E129" i="37"/>
  <c r="F51" i="37"/>
  <c r="H16" i="37"/>
  <c r="E16" i="37"/>
  <c r="D12" i="37"/>
  <c r="G43" i="37"/>
  <c r="B25" i="37"/>
  <c r="I43" i="37"/>
  <c r="B42" i="37"/>
  <c r="E82" i="37"/>
  <c r="H82" i="37"/>
  <c r="F82" i="37"/>
  <c r="F74" i="37"/>
  <c r="I74" i="37"/>
  <c r="G74" i="37"/>
  <c r="I12" i="37"/>
  <c r="G12" i="37"/>
  <c r="E114" i="37"/>
  <c r="G51" i="37"/>
  <c r="I51" i="37"/>
  <c r="E51" i="37"/>
  <c r="G137" i="37"/>
  <c r="I137" i="37"/>
  <c r="G90" i="37"/>
  <c r="I90" i="37"/>
  <c r="E30" i="37"/>
  <c r="F30" i="37"/>
  <c r="F28" i="37"/>
  <c r="G98" i="37"/>
  <c r="I98" i="37"/>
  <c r="G129" i="37"/>
  <c r="I129" i="37"/>
  <c r="G106" i="37"/>
  <c r="I106" i="37"/>
  <c r="E66" i="37"/>
  <c r="H66" i="37"/>
  <c r="F66" i="37"/>
  <c r="K96" i="37"/>
  <c r="C30" i="37"/>
  <c r="K30" i="37" s="1"/>
  <c r="F129" i="37"/>
  <c r="F98" i="37"/>
  <c r="G27" i="37"/>
  <c r="I27" i="37"/>
  <c r="E74" i="37"/>
  <c r="E43" i="37"/>
  <c r="G30" i="37"/>
  <c r="I30" i="37"/>
  <c r="F12" i="37"/>
  <c r="G122" i="37"/>
  <c r="I122" i="37"/>
  <c r="G114" i="37"/>
  <c r="I114" i="37"/>
  <c r="E58" i="37"/>
  <c r="H58" i="37"/>
  <c r="D50" i="37"/>
  <c r="F58" i="37"/>
  <c r="F34" i="37"/>
  <c r="I34" i="37"/>
  <c r="G34" i="37"/>
  <c r="E122" i="37"/>
  <c r="E106" i="37"/>
  <c r="F43" i="37"/>
  <c r="I26" i="37"/>
  <c r="E26" i="37"/>
  <c r="G26" i="37"/>
  <c r="E34" i="37"/>
  <c r="F27" i="37"/>
  <c r="E21" i="39" l="1"/>
  <c r="G21" i="39"/>
  <c r="G50" i="37"/>
  <c r="D161" i="37"/>
  <c r="H91" i="37"/>
  <c r="F148" i="39"/>
  <c r="H148" i="39"/>
  <c r="G148" i="39"/>
  <c r="E148" i="39"/>
  <c r="D148" i="39"/>
  <c r="D151" i="38"/>
  <c r="D153" i="38" s="1"/>
  <c r="H24" i="38"/>
  <c r="G151" i="38"/>
  <c r="I151" i="38"/>
  <c r="F151" i="38"/>
  <c r="E12" i="37"/>
  <c r="H12" i="37"/>
  <c r="E98" i="37"/>
  <c r="D25" i="37"/>
  <c r="F25" i="37" s="1"/>
  <c r="D90" i="37"/>
  <c r="H90" i="37" s="1"/>
  <c r="E91" i="37"/>
  <c r="H28" i="37"/>
  <c r="F137" i="37"/>
  <c r="E137" i="37"/>
  <c r="I42" i="37"/>
  <c r="G42" i="37"/>
  <c r="E42" i="37"/>
  <c r="F42" i="37"/>
  <c r="H50" i="37"/>
  <c r="E50" i="37"/>
  <c r="F50" i="37"/>
  <c r="C24" i="37"/>
  <c r="I25" i="37"/>
  <c r="B24" i="37"/>
  <c r="G25" i="37"/>
  <c r="E151" i="38" l="1"/>
  <c r="D154" i="38"/>
  <c r="H151" i="38"/>
  <c r="F90" i="37"/>
  <c r="E90" i="37"/>
  <c r="E25" i="37"/>
  <c r="E24" i="37" s="1"/>
  <c r="D24" i="37"/>
  <c r="H25" i="37"/>
  <c r="I24" i="37"/>
  <c r="G24" i="37"/>
  <c r="B151" i="37"/>
  <c r="K24" i="37"/>
  <c r="C151" i="37"/>
  <c r="K151" i="37" s="1"/>
  <c r="D162" i="37" l="1"/>
  <c r="D160" i="37" s="1"/>
  <c r="D163" i="37" s="1"/>
  <c r="D151" i="37"/>
  <c r="D153" i="37" s="1"/>
  <c r="F24" i="37"/>
  <c r="F151" i="37"/>
  <c r="H24" i="37"/>
  <c r="G151" i="37"/>
  <c r="I151" i="37"/>
  <c r="D158" i="37" l="1"/>
  <c r="D154" i="37"/>
  <c r="H151" i="37"/>
  <c r="E151" i="37"/>
  <c r="E77" i="35"/>
  <c r="E70" i="35" l="1"/>
  <c r="D155" i="35" l="1"/>
  <c r="C142" i="35"/>
  <c r="C145" i="35"/>
  <c r="D145" i="35"/>
  <c r="D154" i="35" s="1"/>
  <c r="D142" i="35"/>
  <c r="B143" i="35"/>
  <c r="B142" i="35"/>
  <c r="D147" i="35"/>
  <c r="E62" i="35" l="1"/>
  <c r="E64" i="35"/>
  <c r="D34" i="35" l="1"/>
  <c r="D33" i="35" s="1"/>
  <c r="C12" i="35" l="1"/>
  <c r="H141" i="35" l="1"/>
  <c r="G141" i="35"/>
  <c r="B34" i="35"/>
  <c r="D17" i="35"/>
  <c r="D16" i="35"/>
  <c r="C17" i="35"/>
  <c r="C16" i="35"/>
  <c r="E60" i="35"/>
  <c r="E59" i="35"/>
  <c r="E79" i="35" l="1"/>
  <c r="C34" i="35"/>
  <c r="B53" i="35"/>
  <c r="C58" i="35"/>
  <c r="D58" i="35"/>
  <c r="B58" i="35"/>
  <c r="C66" i="35"/>
  <c r="D66" i="35"/>
  <c r="B66" i="35"/>
  <c r="C74" i="35"/>
  <c r="D74" i="35"/>
  <c r="B74" i="35"/>
  <c r="H126" i="35"/>
  <c r="G126" i="35"/>
  <c r="F126" i="35"/>
  <c r="E126" i="35"/>
  <c r="H118" i="35"/>
  <c r="G118" i="35"/>
  <c r="F118" i="35"/>
  <c r="E118" i="35"/>
  <c r="H110" i="35"/>
  <c r="G110" i="35"/>
  <c r="F110" i="35"/>
  <c r="E110" i="35"/>
  <c r="H85" i="35"/>
  <c r="G85" i="35"/>
  <c r="F85" i="35"/>
  <c r="E85" i="35"/>
  <c r="C82" i="35"/>
  <c r="D82" i="35"/>
  <c r="B82" i="35"/>
  <c r="B94" i="35"/>
  <c r="B93" i="35"/>
  <c r="C98" i="35"/>
  <c r="D98" i="35"/>
  <c r="B98" i="35"/>
  <c r="C106" i="35"/>
  <c r="D106" i="35"/>
  <c r="B106" i="35"/>
  <c r="C114" i="35"/>
  <c r="D114" i="35"/>
  <c r="B114" i="35"/>
  <c r="C122" i="35"/>
  <c r="D122" i="35"/>
  <c r="B122" i="35"/>
  <c r="D129" i="35"/>
  <c r="C129" i="35"/>
  <c r="B129" i="35"/>
  <c r="B54" i="35" l="1"/>
  <c r="B28" i="35" s="1"/>
  <c r="I28" i="35" s="1"/>
  <c r="C54" i="35"/>
  <c r="K54" i="35" s="1"/>
  <c r="D54" i="35"/>
  <c r="G94" i="35"/>
  <c r="C94" i="35"/>
  <c r="D94" i="35"/>
  <c r="H94" i="35" s="1"/>
  <c r="E133" i="35"/>
  <c r="F133" i="35"/>
  <c r="G133" i="35"/>
  <c r="H133" i="35"/>
  <c r="E102" i="35"/>
  <c r="F102" i="35"/>
  <c r="G102" i="35"/>
  <c r="H102" i="35"/>
  <c r="E78" i="35"/>
  <c r="F78" i="35"/>
  <c r="G78" i="35"/>
  <c r="H78" i="35"/>
  <c r="F70" i="35"/>
  <c r="G70" i="35"/>
  <c r="H70" i="35"/>
  <c r="F62" i="35"/>
  <c r="G62" i="35"/>
  <c r="H62" i="35"/>
  <c r="E46" i="35"/>
  <c r="F46" i="35"/>
  <c r="G46" i="35"/>
  <c r="H46" i="35"/>
  <c r="C28" i="35" l="1"/>
  <c r="K28" i="35" s="1"/>
  <c r="G54" i="35"/>
  <c r="F54" i="35"/>
  <c r="G28" i="35"/>
  <c r="E54" i="35"/>
  <c r="E94" i="35"/>
  <c r="D28" i="35"/>
  <c r="H54" i="35"/>
  <c r="F94" i="35"/>
  <c r="I54" i="35"/>
  <c r="H28" i="35" l="1"/>
  <c r="E28" i="35"/>
  <c r="F28" i="35"/>
  <c r="E38" i="35"/>
  <c r="F38" i="35"/>
  <c r="G38" i="35"/>
  <c r="H38" i="35"/>
  <c r="I140" i="35" l="1"/>
  <c r="K140" i="35"/>
  <c r="I133" i="35"/>
  <c r="K133" i="35"/>
  <c r="I126" i="35"/>
  <c r="K126" i="35"/>
  <c r="I118" i="35"/>
  <c r="K118" i="35"/>
  <c r="I110" i="35"/>
  <c r="K110" i="35"/>
  <c r="I102" i="35"/>
  <c r="K102" i="35"/>
  <c r="I94" i="35"/>
  <c r="K94" i="35"/>
  <c r="I86" i="35"/>
  <c r="K86" i="35"/>
  <c r="I78" i="35"/>
  <c r="K78" i="35"/>
  <c r="I70" i="35"/>
  <c r="K70" i="35"/>
  <c r="I62" i="35"/>
  <c r="K62" i="35"/>
  <c r="I46" i="35"/>
  <c r="K46" i="35"/>
  <c r="I38" i="35"/>
  <c r="K38" i="35"/>
  <c r="C119" i="35" l="1"/>
  <c r="D134" i="35"/>
  <c r="C134" i="35"/>
  <c r="D119" i="35"/>
  <c r="D111" i="35"/>
  <c r="C111" i="35"/>
  <c r="D103" i="35"/>
  <c r="C103" i="35"/>
  <c r="D63" i="35"/>
  <c r="D55" i="35" s="1"/>
  <c r="C63" i="35"/>
  <c r="C55" i="35" s="1"/>
  <c r="C19" i="35"/>
  <c r="D44" i="35" l="1"/>
  <c r="D42" i="35" s="1"/>
  <c r="C44" i="35"/>
  <c r="C42" i="35" s="1"/>
  <c r="D8" i="35" l="1"/>
  <c r="C8" i="35"/>
  <c r="K77" i="35" l="1"/>
  <c r="K5" i="35"/>
  <c r="K6" i="35"/>
  <c r="K7" i="35"/>
  <c r="K8" i="35"/>
  <c r="K9" i="35"/>
  <c r="K10" i="35"/>
  <c r="K13" i="35"/>
  <c r="K14" i="35"/>
  <c r="K16" i="35"/>
  <c r="K17" i="35"/>
  <c r="K18" i="35"/>
  <c r="K20" i="35"/>
  <c r="K21" i="35"/>
  <c r="K22" i="35"/>
  <c r="K30" i="35"/>
  <c r="K31" i="35"/>
  <c r="K35" i="35"/>
  <c r="K36" i="35"/>
  <c r="K37" i="35"/>
  <c r="K39" i="35"/>
  <c r="K40" i="35"/>
  <c r="K43" i="35"/>
  <c r="K44" i="35"/>
  <c r="K45" i="35"/>
  <c r="K47" i="35"/>
  <c r="K48" i="35"/>
  <c r="K59" i="35"/>
  <c r="K60" i="35"/>
  <c r="K61" i="35"/>
  <c r="K63" i="35"/>
  <c r="K64" i="35"/>
  <c r="K67" i="35"/>
  <c r="K68" i="35"/>
  <c r="K69" i="35"/>
  <c r="K71" i="35"/>
  <c r="K72" i="35"/>
  <c r="K75" i="35"/>
  <c r="K76" i="35"/>
  <c r="K79" i="35"/>
  <c r="K80" i="35"/>
  <c r="K83" i="35"/>
  <c r="K84" i="35"/>
  <c r="K85" i="35"/>
  <c r="K87" i="35"/>
  <c r="K88" i="35"/>
  <c r="K99" i="35"/>
  <c r="K100" i="35"/>
  <c r="K101" i="35"/>
  <c r="K103" i="35"/>
  <c r="K104" i="35"/>
  <c r="K107" i="35"/>
  <c r="K108" i="35"/>
  <c r="K109" i="35"/>
  <c r="K111" i="35"/>
  <c r="K112" i="35"/>
  <c r="K115" i="35"/>
  <c r="K116" i="35"/>
  <c r="K117" i="35"/>
  <c r="K119" i="35"/>
  <c r="K120" i="35"/>
  <c r="K123" i="35"/>
  <c r="K124" i="35"/>
  <c r="K125" i="35"/>
  <c r="K127" i="35"/>
  <c r="K130" i="35"/>
  <c r="K131" i="35"/>
  <c r="K132" i="35"/>
  <c r="K134" i="35"/>
  <c r="K135" i="35"/>
  <c r="K138" i="35"/>
  <c r="K139" i="35"/>
  <c r="K141" i="35"/>
  <c r="K143" i="35"/>
  <c r="K144" i="35"/>
  <c r="K145" i="35"/>
  <c r="K146" i="35"/>
  <c r="K148" i="35"/>
  <c r="K149" i="35"/>
  <c r="K151" i="35"/>
  <c r="K152" i="35"/>
  <c r="K153" i="35"/>
  <c r="K154" i="35"/>
  <c r="K155" i="35"/>
  <c r="B147" i="35" l="1"/>
  <c r="B145" i="35"/>
  <c r="B27" i="35"/>
  <c r="B137" i="35"/>
  <c r="B128" i="35"/>
  <c r="B113" i="35"/>
  <c r="B97" i="35"/>
  <c r="B96" i="35"/>
  <c r="B95" i="35"/>
  <c r="B92" i="35"/>
  <c r="B91" i="35"/>
  <c r="B81" i="35"/>
  <c r="B73" i="35"/>
  <c r="B65" i="35"/>
  <c r="B57" i="35"/>
  <c r="B56" i="35"/>
  <c r="B55" i="35"/>
  <c r="B52" i="35"/>
  <c r="B51" i="35"/>
  <c r="B48" i="35"/>
  <c r="B47" i="35"/>
  <c r="B44" i="35"/>
  <c r="B43" i="35"/>
  <c r="B33" i="35"/>
  <c r="B19" i="35"/>
  <c r="B15" i="35"/>
  <c r="B12" i="35"/>
  <c r="B25" i="35" l="1"/>
  <c r="B42" i="35"/>
  <c r="B136" i="35"/>
  <c r="B90" i="35"/>
  <c r="B11" i="35"/>
  <c r="B32" i="35"/>
  <c r="B26" i="35"/>
  <c r="B121" i="35"/>
  <c r="B29" i="35"/>
  <c r="B105" i="35"/>
  <c r="B50" i="35"/>
  <c r="B49" i="35"/>
  <c r="B89" i="35" l="1"/>
  <c r="B24" i="35"/>
  <c r="B23" i="35" s="1"/>
  <c r="B150" i="35" s="1"/>
  <c r="B41" i="35"/>
  <c r="D12" i="35" l="1"/>
  <c r="D15" i="35"/>
  <c r="D96" i="35" l="1"/>
  <c r="E135" i="35" l="1"/>
  <c r="F13" i="35"/>
  <c r="F14" i="35"/>
  <c r="F16" i="35"/>
  <c r="F17" i="35"/>
  <c r="F18" i="35"/>
  <c r="F20" i="35"/>
  <c r="F21" i="35"/>
  <c r="F30" i="35"/>
  <c r="F31" i="35"/>
  <c r="F35" i="35"/>
  <c r="F36" i="35"/>
  <c r="F43" i="35"/>
  <c r="F48" i="35"/>
  <c r="F59" i="35"/>
  <c r="F60" i="35"/>
  <c r="F64" i="35"/>
  <c r="F67" i="35"/>
  <c r="F68" i="35"/>
  <c r="F72" i="35"/>
  <c r="F75" i="35"/>
  <c r="F76" i="35"/>
  <c r="F80" i="35"/>
  <c r="F83" i="35"/>
  <c r="F84" i="35"/>
  <c r="F86" i="35"/>
  <c r="F88" i="35"/>
  <c r="F99" i="35"/>
  <c r="F100" i="35"/>
  <c r="F104" i="35"/>
  <c r="F107" i="35"/>
  <c r="F108" i="35"/>
  <c r="F112" i="35"/>
  <c r="F115" i="35"/>
  <c r="F116" i="35"/>
  <c r="F120" i="35"/>
  <c r="F123" i="35"/>
  <c r="F124" i="35"/>
  <c r="F127" i="35"/>
  <c r="F130" i="35"/>
  <c r="F131" i="35"/>
  <c r="F135" i="35"/>
  <c r="F138" i="35"/>
  <c r="F139" i="35"/>
  <c r="F141" i="35"/>
  <c r="F144" i="35"/>
  <c r="F146" i="35"/>
  <c r="F149" i="35"/>
  <c r="F7" i="35"/>
  <c r="E13" i="35"/>
  <c r="F40" i="35" l="1"/>
  <c r="F22" i="35"/>
  <c r="F69" i="35" l="1"/>
  <c r="F61" i="35" l="1"/>
  <c r="F117" i="35" l="1"/>
  <c r="F132" i="35"/>
  <c r="F45" i="35"/>
  <c r="F39" i="35" l="1"/>
  <c r="F47" i="35"/>
  <c r="E30" i="35"/>
  <c r="F111" i="35"/>
  <c r="F103" i="35" l="1"/>
  <c r="F71" i="35"/>
  <c r="F134" i="35"/>
  <c r="F63" i="35"/>
  <c r="F87" i="35"/>
  <c r="E87" i="35"/>
  <c r="F119" i="35"/>
  <c r="I5" i="35"/>
  <c r="I6" i="35"/>
  <c r="I7" i="35"/>
  <c r="I9" i="35"/>
  <c r="I10" i="35"/>
  <c r="I13" i="35"/>
  <c r="I14" i="35"/>
  <c r="I16" i="35"/>
  <c r="I17" i="35"/>
  <c r="I18" i="35"/>
  <c r="I20" i="35"/>
  <c r="I21" i="35"/>
  <c r="I22" i="35"/>
  <c r="I30" i="35"/>
  <c r="I31" i="35"/>
  <c r="I35" i="35"/>
  <c r="I36" i="35"/>
  <c r="I37" i="35"/>
  <c r="I39" i="35"/>
  <c r="I40" i="35"/>
  <c r="I43" i="35"/>
  <c r="I44" i="35"/>
  <c r="I45" i="35"/>
  <c r="I47" i="35"/>
  <c r="I48" i="35"/>
  <c r="I59" i="35"/>
  <c r="I60" i="35"/>
  <c r="I61" i="35"/>
  <c r="I63" i="35"/>
  <c r="I64" i="35"/>
  <c r="I67" i="35"/>
  <c r="I68" i="35"/>
  <c r="I69" i="35"/>
  <c r="I71" i="35"/>
  <c r="I72" i="35"/>
  <c r="I75" i="35"/>
  <c r="I76" i="35"/>
  <c r="I77" i="35"/>
  <c r="I79" i="35"/>
  <c r="I80" i="35"/>
  <c r="I83" i="35"/>
  <c r="I84" i="35"/>
  <c r="I85" i="35"/>
  <c r="I87" i="35"/>
  <c r="I88" i="35"/>
  <c r="I99" i="35"/>
  <c r="I100" i="35"/>
  <c r="I101" i="35"/>
  <c r="I103" i="35"/>
  <c r="I104" i="35"/>
  <c r="I107" i="35"/>
  <c r="I108" i="35"/>
  <c r="I109" i="35"/>
  <c r="I111" i="35"/>
  <c r="I112" i="35"/>
  <c r="I115" i="35"/>
  <c r="I116" i="35"/>
  <c r="I117" i="35"/>
  <c r="I119" i="35"/>
  <c r="I120" i="35"/>
  <c r="I123" i="35"/>
  <c r="I124" i="35"/>
  <c r="I125" i="35"/>
  <c r="I127" i="35"/>
  <c r="I130" i="35"/>
  <c r="I131" i="35"/>
  <c r="I132" i="35"/>
  <c r="I134" i="35"/>
  <c r="I135" i="35"/>
  <c r="I138" i="35"/>
  <c r="I139" i="35"/>
  <c r="I141" i="35"/>
  <c r="I143" i="35"/>
  <c r="I144" i="35"/>
  <c r="I145" i="35"/>
  <c r="I146" i="35"/>
  <c r="I149" i="35"/>
  <c r="I151" i="35"/>
  <c r="I152" i="35"/>
  <c r="I153" i="35"/>
  <c r="I154" i="35"/>
  <c r="I155" i="35"/>
  <c r="D51" i="35" l="1"/>
  <c r="F145" i="35" l="1"/>
  <c r="C130" i="31" l="1"/>
  <c r="D130" i="31"/>
  <c r="D128" i="31" l="1"/>
  <c r="F143" i="35" l="1"/>
  <c r="D64" i="31"/>
  <c r="D65" i="35" l="1"/>
  <c r="H13" i="35"/>
  <c r="H14" i="35"/>
  <c r="H16" i="35"/>
  <c r="H17" i="35"/>
  <c r="H18" i="35"/>
  <c r="H20" i="35"/>
  <c r="H21" i="35"/>
  <c r="H22" i="35"/>
  <c r="H30" i="35"/>
  <c r="H31" i="35"/>
  <c r="H35" i="35"/>
  <c r="H36" i="35"/>
  <c r="H39" i="35"/>
  <c r="H40" i="35"/>
  <c r="H43" i="35"/>
  <c r="H47" i="35"/>
  <c r="H48" i="35"/>
  <c r="H59" i="35"/>
  <c r="H60" i="35"/>
  <c r="H61" i="35"/>
  <c r="H63" i="35"/>
  <c r="H64" i="35"/>
  <c r="H67" i="35"/>
  <c r="H68" i="35"/>
  <c r="H69" i="35"/>
  <c r="H71" i="35"/>
  <c r="H72" i="35"/>
  <c r="H75" i="35"/>
  <c r="H76" i="35"/>
  <c r="H79" i="35"/>
  <c r="H80" i="35"/>
  <c r="H83" i="35"/>
  <c r="H84" i="35"/>
  <c r="H86" i="35"/>
  <c r="H87" i="35"/>
  <c r="H88" i="35"/>
  <c r="H99" i="35"/>
  <c r="H100" i="35"/>
  <c r="H103" i="35"/>
  <c r="H104" i="35"/>
  <c r="H107" i="35"/>
  <c r="H108" i="35"/>
  <c r="H111" i="35"/>
  <c r="H112" i="35"/>
  <c r="H115" i="35"/>
  <c r="H116" i="35"/>
  <c r="H119" i="35"/>
  <c r="H120" i="35"/>
  <c r="H123" i="35"/>
  <c r="H124" i="35"/>
  <c r="H127" i="35"/>
  <c r="H130" i="35"/>
  <c r="H131" i="35"/>
  <c r="H134" i="35"/>
  <c r="H135" i="35"/>
  <c r="H138" i="35"/>
  <c r="H139" i="35"/>
  <c r="H143" i="35"/>
  <c r="H144" i="35"/>
  <c r="H146" i="35"/>
  <c r="H148" i="35"/>
  <c r="H149" i="35"/>
  <c r="G13" i="35"/>
  <c r="H145" i="35"/>
  <c r="G149" i="35"/>
  <c r="E149" i="35"/>
  <c r="F148" i="35"/>
  <c r="C147" i="35"/>
  <c r="K147" i="35" s="1"/>
  <c r="G146" i="35"/>
  <c r="E146" i="35"/>
  <c r="G145" i="35"/>
  <c r="G144" i="35"/>
  <c r="E144" i="35"/>
  <c r="G143" i="35"/>
  <c r="E143" i="35"/>
  <c r="K142" i="35"/>
  <c r="F142" i="35"/>
  <c r="E141" i="35"/>
  <c r="G139" i="35"/>
  <c r="E139" i="35"/>
  <c r="G138" i="35"/>
  <c r="E138" i="35"/>
  <c r="D137" i="35"/>
  <c r="D136" i="35" s="1"/>
  <c r="C137" i="35"/>
  <c r="K137" i="35" s="1"/>
  <c r="G135" i="35"/>
  <c r="G134" i="35"/>
  <c r="E134" i="35"/>
  <c r="G132" i="35"/>
  <c r="E132" i="35"/>
  <c r="K129" i="35"/>
  <c r="G131" i="35"/>
  <c r="E131" i="35"/>
  <c r="G130" i="35"/>
  <c r="E130" i="35"/>
  <c r="D128" i="35"/>
  <c r="E128" i="35" s="1"/>
  <c r="G127" i="35"/>
  <c r="E127" i="35"/>
  <c r="G125" i="35"/>
  <c r="G124" i="35"/>
  <c r="E124" i="35"/>
  <c r="G123" i="35"/>
  <c r="E123" i="35"/>
  <c r="G120" i="35"/>
  <c r="E120" i="35"/>
  <c r="G119" i="35"/>
  <c r="E119" i="35"/>
  <c r="G117" i="35"/>
  <c r="H117" i="35"/>
  <c r="G116" i="35"/>
  <c r="E116" i="35"/>
  <c r="G115" i="35"/>
  <c r="E115" i="35"/>
  <c r="G112" i="35"/>
  <c r="E112" i="35"/>
  <c r="G111" i="35"/>
  <c r="E111" i="35"/>
  <c r="G109" i="35"/>
  <c r="K106" i="35"/>
  <c r="G108" i="35"/>
  <c r="E108" i="35"/>
  <c r="G107" i="35"/>
  <c r="E107" i="35"/>
  <c r="G104" i="35"/>
  <c r="E104" i="35"/>
  <c r="G103" i="35"/>
  <c r="E103" i="35"/>
  <c r="G101" i="35"/>
  <c r="K98" i="35"/>
  <c r="G100" i="35"/>
  <c r="E100" i="35"/>
  <c r="G99" i="35"/>
  <c r="E99" i="35"/>
  <c r="C96" i="35"/>
  <c r="K96" i="35" s="1"/>
  <c r="I96" i="35"/>
  <c r="D95" i="35"/>
  <c r="C95" i="35"/>
  <c r="C29" i="35" s="1"/>
  <c r="D92" i="35"/>
  <c r="C92" i="35"/>
  <c r="K92" i="35" s="1"/>
  <c r="D91" i="35"/>
  <c r="D25" i="35" s="1"/>
  <c r="C91" i="35"/>
  <c r="K91" i="35" s="1"/>
  <c r="G88" i="35"/>
  <c r="E88" i="35"/>
  <c r="G87" i="35"/>
  <c r="G86" i="35"/>
  <c r="E86" i="35"/>
  <c r="G84" i="35"/>
  <c r="E84" i="35"/>
  <c r="G83" i="35"/>
  <c r="E83" i="35"/>
  <c r="K82" i="35"/>
  <c r="G80" i="35"/>
  <c r="E80" i="35"/>
  <c r="G79" i="35"/>
  <c r="G77" i="35"/>
  <c r="G76" i="35"/>
  <c r="E76" i="35"/>
  <c r="G75" i="35"/>
  <c r="E75" i="35"/>
  <c r="G72" i="35"/>
  <c r="E72" i="35"/>
  <c r="G71" i="35"/>
  <c r="E71" i="35"/>
  <c r="G69" i="35"/>
  <c r="G68" i="35"/>
  <c r="E68" i="35"/>
  <c r="G67" i="35"/>
  <c r="E67" i="35"/>
  <c r="F66" i="35"/>
  <c r="G64" i="35"/>
  <c r="G63" i="35"/>
  <c r="E63" i="35"/>
  <c r="G61" i="35"/>
  <c r="E61" i="35"/>
  <c r="G60" i="35"/>
  <c r="G59" i="35"/>
  <c r="D56" i="35"/>
  <c r="D32" i="35" s="1"/>
  <c r="C56" i="35"/>
  <c r="K56" i="35" s="1"/>
  <c r="K55" i="35"/>
  <c r="D52" i="35"/>
  <c r="C52" i="35"/>
  <c r="K52" i="35" s="1"/>
  <c r="H51" i="35"/>
  <c r="C51" i="35"/>
  <c r="K51" i="35" s="1"/>
  <c r="F51" i="35"/>
  <c r="G48" i="35"/>
  <c r="E48" i="35"/>
  <c r="G47" i="35"/>
  <c r="E47" i="35"/>
  <c r="G45" i="35"/>
  <c r="E45" i="35"/>
  <c r="G44" i="35"/>
  <c r="G43" i="35"/>
  <c r="E43" i="35"/>
  <c r="I42" i="35"/>
  <c r="G40" i="35"/>
  <c r="E40" i="35"/>
  <c r="G39" i="35"/>
  <c r="E39" i="35"/>
  <c r="G37" i="35"/>
  <c r="K34" i="35"/>
  <c r="G36" i="35"/>
  <c r="E36" i="35"/>
  <c r="G35" i="35"/>
  <c r="E35" i="35"/>
  <c r="G31" i="35"/>
  <c r="E31" i="35"/>
  <c r="G30" i="35"/>
  <c r="G22" i="35"/>
  <c r="E22" i="35"/>
  <c r="G21" i="35"/>
  <c r="E21" i="35"/>
  <c r="G20" i="35"/>
  <c r="E20" i="35"/>
  <c r="D19" i="35"/>
  <c r="K19" i="35"/>
  <c r="I19" i="35"/>
  <c r="G18" i="35"/>
  <c r="E18" i="35"/>
  <c r="G17" i="35"/>
  <c r="E17" i="35"/>
  <c r="G16" i="35"/>
  <c r="E16" i="35"/>
  <c r="C15" i="35"/>
  <c r="K15" i="35" s="1"/>
  <c r="G14" i="35"/>
  <c r="E14" i="35"/>
  <c r="K12" i="35"/>
  <c r="I8" i="35"/>
  <c r="E7" i="35"/>
  <c r="D11" i="35" l="1"/>
  <c r="F19" i="35"/>
  <c r="K114" i="35"/>
  <c r="C113" i="35"/>
  <c r="K113" i="35" s="1"/>
  <c r="D29" i="35"/>
  <c r="E29" i="35" s="1"/>
  <c r="K95" i="35"/>
  <c r="C57" i="35"/>
  <c r="K58" i="35"/>
  <c r="F129" i="35"/>
  <c r="E44" i="35"/>
  <c r="F44" i="35"/>
  <c r="I29" i="35"/>
  <c r="F77" i="35"/>
  <c r="H91" i="35"/>
  <c r="F91" i="35"/>
  <c r="E125" i="35"/>
  <c r="F125" i="35"/>
  <c r="H96" i="35"/>
  <c r="F96" i="35"/>
  <c r="E109" i="35"/>
  <c r="F109" i="35"/>
  <c r="E101" i="35"/>
  <c r="F101" i="35"/>
  <c r="F92" i="35"/>
  <c r="H95" i="35"/>
  <c r="F95" i="35"/>
  <c r="H147" i="35"/>
  <c r="F56" i="35"/>
  <c r="H25" i="35"/>
  <c r="H52" i="35"/>
  <c r="F52" i="35"/>
  <c r="H19" i="35"/>
  <c r="F55" i="35"/>
  <c r="H137" i="35"/>
  <c r="F137" i="35"/>
  <c r="H114" i="35"/>
  <c r="F114" i="35"/>
  <c r="D81" i="35"/>
  <c r="F82" i="35"/>
  <c r="H58" i="35"/>
  <c r="F58" i="35"/>
  <c r="H15" i="35"/>
  <c r="F15" i="35"/>
  <c r="E15" i="35"/>
  <c r="H12" i="35"/>
  <c r="F12" i="35"/>
  <c r="G58" i="35"/>
  <c r="I58" i="35"/>
  <c r="G82" i="35"/>
  <c r="I82" i="35"/>
  <c r="G93" i="35"/>
  <c r="I93" i="35"/>
  <c r="G106" i="35"/>
  <c r="I106" i="35"/>
  <c r="I122" i="35"/>
  <c r="G51" i="35"/>
  <c r="I51" i="35"/>
  <c r="I148" i="35"/>
  <c r="G52" i="35"/>
  <c r="I52" i="35"/>
  <c r="G129" i="35"/>
  <c r="I129" i="35"/>
  <c r="G56" i="35"/>
  <c r="I56" i="35"/>
  <c r="E106" i="35"/>
  <c r="G12" i="35"/>
  <c r="I12" i="35"/>
  <c r="G53" i="35"/>
  <c r="I53" i="35"/>
  <c r="G66" i="35"/>
  <c r="I66" i="35"/>
  <c r="G91" i="35"/>
  <c r="I91" i="35"/>
  <c r="G114" i="35"/>
  <c r="I114" i="35"/>
  <c r="F136" i="35"/>
  <c r="I137" i="35"/>
  <c r="G142" i="35"/>
  <c r="I142" i="35"/>
  <c r="G15" i="35"/>
  <c r="I15" i="35"/>
  <c r="G98" i="35"/>
  <c r="I98" i="35"/>
  <c r="G74" i="35"/>
  <c r="I74" i="35"/>
  <c r="C32" i="35"/>
  <c r="K32" i="35" s="1"/>
  <c r="G92" i="35"/>
  <c r="I92" i="35"/>
  <c r="G34" i="35"/>
  <c r="I34" i="35"/>
  <c r="G95" i="35"/>
  <c r="I95" i="35"/>
  <c r="I55" i="35"/>
  <c r="H55" i="35"/>
  <c r="C53" i="35"/>
  <c r="K53" i="35" s="1"/>
  <c r="G122" i="35"/>
  <c r="D53" i="35"/>
  <c r="D57" i="35"/>
  <c r="H82" i="35"/>
  <c r="C73" i="35"/>
  <c r="L70" i="35" s="1"/>
  <c r="E56" i="35"/>
  <c r="H132" i="35"/>
  <c r="H109" i="35"/>
  <c r="H77" i="35"/>
  <c r="C128" i="35"/>
  <c r="K128" i="35" s="1"/>
  <c r="C97" i="35"/>
  <c r="K97" i="35" s="1"/>
  <c r="C11" i="35"/>
  <c r="F74" i="35"/>
  <c r="D93" i="35"/>
  <c r="F93" i="35" s="1"/>
  <c r="E117" i="35"/>
  <c r="D121" i="35"/>
  <c r="H56" i="35"/>
  <c r="E92" i="35"/>
  <c r="E129" i="35"/>
  <c r="E142" i="35"/>
  <c r="H125" i="35"/>
  <c r="H45" i="35"/>
  <c r="H129" i="35"/>
  <c r="H101" i="35"/>
  <c r="H92" i="35"/>
  <c r="H44" i="35"/>
  <c r="H142" i="35"/>
  <c r="E95" i="35"/>
  <c r="K42" i="35"/>
  <c r="C25" i="35"/>
  <c r="K25" i="35" s="1"/>
  <c r="E58" i="35"/>
  <c r="E69" i="35"/>
  <c r="C105" i="35"/>
  <c r="K105" i="35" s="1"/>
  <c r="C136" i="35"/>
  <c r="K136" i="35" s="1"/>
  <c r="E137" i="35"/>
  <c r="E12" i="35"/>
  <c r="E51" i="35"/>
  <c r="D26" i="35"/>
  <c r="E55" i="35"/>
  <c r="F65" i="35"/>
  <c r="E82" i="35"/>
  <c r="E114" i="35"/>
  <c r="C93" i="35"/>
  <c r="K93" i="35" s="1"/>
  <c r="G19" i="35"/>
  <c r="E19" i="35"/>
  <c r="G42" i="35"/>
  <c r="E91" i="35"/>
  <c r="E96" i="35"/>
  <c r="G137" i="35"/>
  <c r="G148" i="35"/>
  <c r="I25" i="35"/>
  <c r="C26" i="35"/>
  <c r="K26" i="35" s="1"/>
  <c r="I32" i="35"/>
  <c r="C33" i="35"/>
  <c r="K33" i="35" s="1"/>
  <c r="E52" i="35"/>
  <c r="G55" i="35"/>
  <c r="C81" i="35"/>
  <c r="G96" i="35"/>
  <c r="D113" i="35"/>
  <c r="E145" i="35"/>
  <c r="I147" i="35"/>
  <c r="E148" i="35"/>
  <c r="D119" i="31"/>
  <c r="C119" i="31"/>
  <c r="D99" i="31"/>
  <c r="C99" i="31"/>
  <c r="D92" i="31"/>
  <c r="C92" i="31"/>
  <c r="D43" i="31"/>
  <c r="H29" i="35" l="1"/>
  <c r="K11" i="35"/>
  <c r="K29" i="35"/>
  <c r="K81" i="35"/>
  <c r="C121" i="35"/>
  <c r="K121" i="35" s="1"/>
  <c r="K122" i="35"/>
  <c r="K57" i="35"/>
  <c r="C65" i="35"/>
  <c r="K65" i="35" s="1"/>
  <c r="K66" i="35"/>
  <c r="K74" i="35"/>
  <c r="K73" i="35"/>
  <c r="D27" i="35"/>
  <c r="F113" i="35"/>
  <c r="F98" i="35"/>
  <c r="D90" i="35"/>
  <c r="F147" i="35"/>
  <c r="H98" i="35"/>
  <c r="F26" i="35"/>
  <c r="H32" i="35"/>
  <c r="F32" i="35"/>
  <c r="F25" i="35"/>
  <c r="F29" i="35"/>
  <c r="F128" i="35"/>
  <c r="H122" i="35"/>
  <c r="F122" i="35"/>
  <c r="H106" i="35"/>
  <c r="F106" i="35"/>
  <c r="D105" i="35"/>
  <c r="F105" i="35" s="1"/>
  <c r="D97" i="35"/>
  <c r="F97" i="35" s="1"/>
  <c r="E98" i="35"/>
  <c r="H81" i="35"/>
  <c r="F81" i="35"/>
  <c r="H53" i="35"/>
  <c r="F53" i="35"/>
  <c r="H57" i="35"/>
  <c r="F57" i="35"/>
  <c r="D41" i="35"/>
  <c r="E41" i="35" s="1"/>
  <c r="F42" i="35"/>
  <c r="H11" i="35"/>
  <c r="E11" i="35"/>
  <c r="F11" i="35"/>
  <c r="G73" i="35"/>
  <c r="I73" i="35"/>
  <c r="G136" i="35"/>
  <c r="I136" i="35"/>
  <c r="G121" i="35"/>
  <c r="I121" i="35"/>
  <c r="G90" i="35"/>
  <c r="I90" i="35"/>
  <c r="G26" i="35"/>
  <c r="I26" i="35"/>
  <c r="G50" i="35"/>
  <c r="I50" i="35"/>
  <c r="G27" i="35"/>
  <c r="I27" i="35"/>
  <c r="G11" i="35"/>
  <c r="I11" i="35"/>
  <c r="G128" i="35"/>
  <c r="I128" i="35"/>
  <c r="G113" i="35"/>
  <c r="I113" i="35"/>
  <c r="G105" i="35"/>
  <c r="I105" i="35"/>
  <c r="G97" i="35"/>
  <c r="I97" i="35"/>
  <c r="G81" i="35"/>
  <c r="I81" i="35"/>
  <c r="G29" i="35"/>
  <c r="G65" i="35"/>
  <c r="I65" i="35"/>
  <c r="I57" i="35"/>
  <c r="G41" i="35"/>
  <c r="I41" i="35"/>
  <c r="G33" i="35"/>
  <c r="I33" i="35"/>
  <c r="E53" i="35"/>
  <c r="C50" i="35"/>
  <c r="C90" i="35"/>
  <c r="E122" i="35"/>
  <c r="E81" i="35"/>
  <c r="E113" i="35"/>
  <c r="H113" i="35"/>
  <c r="E74" i="35"/>
  <c r="H74" i="35"/>
  <c r="E93" i="35"/>
  <c r="H93" i="35"/>
  <c r="E136" i="35"/>
  <c r="H136" i="35"/>
  <c r="H128" i="35"/>
  <c r="E42" i="35"/>
  <c r="H42" i="35"/>
  <c r="F121" i="35"/>
  <c r="E26" i="35"/>
  <c r="H26" i="35"/>
  <c r="D73" i="35"/>
  <c r="E65" i="35"/>
  <c r="H65" i="35"/>
  <c r="E66" i="35"/>
  <c r="H66" i="35"/>
  <c r="C27" i="35"/>
  <c r="K27" i="35" s="1"/>
  <c r="C41" i="35"/>
  <c r="K41" i="35" s="1"/>
  <c r="E57" i="35"/>
  <c r="D50" i="35"/>
  <c r="G25" i="35"/>
  <c r="E25" i="35"/>
  <c r="G147" i="35"/>
  <c r="E147" i="35"/>
  <c r="G57" i="35"/>
  <c r="G32" i="35"/>
  <c r="E32" i="35"/>
  <c r="D106" i="31"/>
  <c r="C106" i="31"/>
  <c r="F50" i="35" l="1"/>
  <c r="D24" i="35"/>
  <c r="E24" i="35" s="1"/>
  <c r="K50" i="35"/>
  <c r="C24" i="35"/>
  <c r="K24" i="35" s="1"/>
  <c r="C49" i="35"/>
  <c r="K49" i="35" s="1"/>
  <c r="C89" i="35"/>
  <c r="K89" i="35" s="1"/>
  <c r="K90" i="35"/>
  <c r="E97" i="35"/>
  <c r="H97" i="35"/>
  <c r="H105" i="35"/>
  <c r="E105" i="35"/>
  <c r="H90" i="35"/>
  <c r="F90" i="35"/>
  <c r="D49" i="35"/>
  <c r="H49" i="35" s="1"/>
  <c r="F73" i="35"/>
  <c r="H41" i="35"/>
  <c r="F41" i="35"/>
  <c r="G23" i="35"/>
  <c r="I24" i="35"/>
  <c r="G89" i="35"/>
  <c r="I89" i="35"/>
  <c r="G49" i="35"/>
  <c r="I49" i="35"/>
  <c r="G24" i="35"/>
  <c r="D89" i="35"/>
  <c r="E90" i="35"/>
  <c r="E73" i="35"/>
  <c r="H73" i="35"/>
  <c r="E121" i="35"/>
  <c r="H121" i="35"/>
  <c r="E50" i="35"/>
  <c r="H50" i="35"/>
  <c r="D142" i="31"/>
  <c r="E49" i="35" l="1"/>
  <c r="F49" i="35"/>
  <c r="H89" i="35"/>
  <c r="F89" i="35"/>
  <c r="G150" i="35"/>
  <c r="C23" i="35"/>
  <c r="C150" i="35" s="1"/>
  <c r="I23" i="35"/>
  <c r="E89" i="35"/>
  <c r="D140" i="31"/>
  <c r="K150" i="35" l="1"/>
  <c r="K23" i="35"/>
  <c r="I150" i="35"/>
  <c r="D28" i="31"/>
  <c r="C28" i="31"/>
  <c r="D86" i="31" l="1"/>
  <c r="E13" i="31"/>
  <c r="E14" i="31"/>
  <c r="E16" i="31"/>
  <c r="E17" i="31"/>
  <c r="E18" i="31"/>
  <c r="E20" i="31"/>
  <c r="E21" i="31"/>
  <c r="E22" i="31"/>
  <c r="E29" i="31"/>
  <c r="E30" i="31"/>
  <c r="E34" i="31"/>
  <c r="E35" i="31"/>
  <c r="E36" i="31"/>
  <c r="E37" i="31"/>
  <c r="E38" i="31"/>
  <c r="E41" i="31"/>
  <c r="E44" i="31"/>
  <c r="E45" i="31"/>
  <c r="E55" i="31"/>
  <c r="E56" i="31"/>
  <c r="E57" i="31"/>
  <c r="E58" i="31"/>
  <c r="E59" i="31"/>
  <c r="E62" i="31"/>
  <c r="E63" i="31"/>
  <c r="E65" i="31"/>
  <c r="E66" i="31"/>
  <c r="E69" i="31"/>
  <c r="E70" i="31"/>
  <c r="E72" i="31"/>
  <c r="E73" i="31"/>
  <c r="E76" i="31"/>
  <c r="E77" i="31"/>
  <c r="E78" i="31"/>
  <c r="E79" i="31"/>
  <c r="E80" i="31"/>
  <c r="E90" i="31"/>
  <c r="E91" i="31"/>
  <c r="E93" i="31"/>
  <c r="E94" i="31"/>
  <c r="E97" i="31"/>
  <c r="E98" i="31"/>
  <c r="E100" i="31"/>
  <c r="E101" i="31"/>
  <c r="E104" i="31"/>
  <c r="E105" i="31"/>
  <c r="E106" i="31"/>
  <c r="E107" i="31"/>
  <c r="E108" i="31"/>
  <c r="E111" i="31"/>
  <c r="E112" i="31"/>
  <c r="E114" i="31"/>
  <c r="E117" i="31"/>
  <c r="E118" i="31"/>
  <c r="E120" i="31"/>
  <c r="E121" i="31"/>
  <c r="E124" i="31"/>
  <c r="E125" i="31"/>
  <c r="E126" i="31"/>
  <c r="E128" i="31"/>
  <c r="E129" i="31"/>
  <c r="E130" i="31"/>
  <c r="E131" i="31"/>
  <c r="E134" i="31"/>
  <c r="E7" i="31"/>
  <c r="D132" i="31"/>
  <c r="C132" i="31" l="1"/>
  <c r="D113" i="31" l="1"/>
  <c r="E113" i="31" s="1"/>
  <c r="C113" i="31"/>
  <c r="E99" i="31"/>
  <c r="E119" i="31" l="1"/>
  <c r="E92" i="31" l="1"/>
  <c r="C89" i="31"/>
  <c r="C88" i="31" s="1"/>
  <c r="D71" i="31" l="1"/>
  <c r="E71" i="31" s="1"/>
  <c r="C71" i="31"/>
  <c r="E43" i="31"/>
  <c r="C43" i="31"/>
  <c r="D42" i="31"/>
  <c r="E42" i="31" s="1"/>
  <c r="C42" i="31"/>
  <c r="C36" i="31"/>
  <c r="C33" i="31" s="1"/>
  <c r="C32" i="31" s="1"/>
  <c r="E64" i="31" l="1"/>
  <c r="C64" i="31"/>
  <c r="D8" i="31" l="1"/>
  <c r="C8" i="31"/>
  <c r="C40" i="31" l="1"/>
  <c r="H40" i="31" s="1"/>
  <c r="D40" i="31"/>
  <c r="H13" i="31"/>
  <c r="H14" i="31"/>
  <c r="H16" i="31"/>
  <c r="H17" i="31"/>
  <c r="H18" i="31"/>
  <c r="H20" i="31"/>
  <c r="H21" i="31"/>
  <c r="H22" i="31"/>
  <c r="H29" i="31"/>
  <c r="H30" i="31"/>
  <c r="H34" i="31"/>
  <c r="H35" i="31"/>
  <c r="H36" i="31"/>
  <c r="H37" i="31"/>
  <c r="H38" i="31"/>
  <c r="H41" i="31"/>
  <c r="H42" i="31"/>
  <c r="H43" i="31"/>
  <c r="H44" i="31"/>
  <c r="H45" i="31"/>
  <c r="H55" i="31"/>
  <c r="H56" i="31"/>
  <c r="H57" i="31"/>
  <c r="H58" i="31"/>
  <c r="H59" i="31"/>
  <c r="H62" i="31"/>
  <c r="H63" i="31"/>
  <c r="H64" i="31"/>
  <c r="H65" i="31"/>
  <c r="H66" i="31"/>
  <c r="H69" i="31"/>
  <c r="H70" i="31"/>
  <c r="H71" i="31"/>
  <c r="H72" i="31"/>
  <c r="H73" i="31"/>
  <c r="H76" i="31"/>
  <c r="H77" i="31"/>
  <c r="H78" i="31"/>
  <c r="H79" i="31"/>
  <c r="H80" i="31"/>
  <c r="H90" i="31"/>
  <c r="H91" i="31"/>
  <c r="H92" i="31"/>
  <c r="H93" i="31"/>
  <c r="H94" i="31"/>
  <c r="H97" i="31"/>
  <c r="H98" i="31"/>
  <c r="H99" i="31"/>
  <c r="H100" i="31"/>
  <c r="H101" i="31"/>
  <c r="H104" i="31"/>
  <c r="H105" i="31"/>
  <c r="H106" i="31"/>
  <c r="H107" i="31"/>
  <c r="H108" i="31"/>
  <c r="H111" i="31"/>
  <c r="H112" i="31"/>
  <c r="H113" i="31"/>
  <c r="H114" i="31"/>
  <c r="H117" i="31"/>
  <c r="H118" i="31"/>
  <c r="H119" i="31"/>
  <c r="H120" i="31"/>
  <c r="H121" i="31"/>
  <c r="H124" i="31"/>
  <c r="H125" i="31"/>
  <c r="H126" i="31"/>
  <c r="H128" i="31"/>
  <c r="H129" i="31"/>
  <c r="H130" i="31"/>
  <c r="H131" i="31"/>
  <c r="H132" i="31"/>
  <c r="H133" i="31"/>
  <c r="H134" i="31"/>
  <c r="G13" i="31"/>
  <c r="G14" i="31"/>
  <c r="G16" i="31"/>
  <c r="G17" i="31"/>
  <c r="G18" i="31"/>
  <c r="G20" i="31"/>
  <c r="G21" i="31"/>
  <c r="G22" i="31"/>
  <c r="G29" i="31"/>
  <c r="G30" i="31"/>
  <c r="G34" i="31"/>
  <c r="G35" i="31"/>
  <c r="G36" i="31"/>
  <c r="G37" i="31"/>
  <c r="G38" i="31"/>
  <c r="G41" i="31"/>
  <c r="G42" i="31"/>
  <c r="G43" i="31"/>
  <c r="G44" i="31"/>
  <c r="G45" i="31"/>
  <c r="G55" i="31"/>
  <c r="G56" i="31"/>
  <c r="G57" i="31"/>
  <c r="G58" i="31"/>
  <c r="G59" i="31"/>
  <c r="G62" i="31"/>
  <c r="G63" i="31"/>
  <c r="G64" i="31"/>
  <c r="G65" i="31"/>
  <c r="G66" i="31"/>
  <c r="G69" i="31"/>
  <c r="G70" i="31"/>
  <c r="G71" i="31"/>
  <c r="G72" i="31"/>
  <c r="G73" i="31"/>
  <c r="G76" i="31"/>
  <c r="G77" i="31"/>
  <c r="G78" i="31"/>
  <c r="G79" i="31"/>
  <c r="G80" i="31"/>
  <c r="G90" i="31"/>
  <c r="G91" i="31"/>
  <c r="G92" i="31"/>
  <c r="G93" i="31"/>
  <c r="G94" i="31"/>
  <c r="G97" i="31"/>
  <c r="G98" i="31"/>
  <c r="G99" i="31"/>
  <c r="G100" i="31"/>
  <c r="G101" i="31"/>
  <c r="G104" i="31"/>
  <c r="G105" i="31"/>
  <c r="G106" i="31"/>
  <c r="G107" i="31"/>
  <c r="G108" i="31"/>
  <c r="G111" i="31"/>
  <c r="G112" i="31"/>
  <c r="G113" i="31"/>
  <c r="G114" i="31"/>
  <c r="G117" i="31"/>
  <c r="G118" i="31"/>
  <c r="G119" i="31"/>
  <c r="G120" i="31"/>
  <c r="G121" i="31"/>
  <c r="G124" i="31"/>
  <c r="G125" i="31"/>
  <c r="G126" i="31"/>
  <c r="G128" i="31"/>
  <c r="G129" i="31"/>
  <c r="G130" i="31"/>
  <c r="G131" i="31"/>
  <c r="G134" i="31"/>
  <c r="F13" i="31"/>
  <c r="F14" i="31"/>
  <c r="F16" i="31"/>
  <c r="F17" i="31"/>
  <c r="F18" i="31"/>
  <c r="F20" i="31"/>
  <c r="F21" i="31"/>
  <c r="F22" i="31"/>
  <c r="F29" i="31"/>
  <c r="F30" i="31"/>
  <c r="F34" i="31"/>
  <c r="F35" i="31"/>
  <c r="F36" i="31"/>
  <c r="F37" i="31"/>
  <c r="F38" i="31"/>
  <c r="F41" i="31"/>
  <c r="F42" i="31"/>
  <c r="F43" i="31"/>
  <c r="F44" i="31"/>
  <c r="F45" i="31"/>
  <c r="F55" i="31"/>
  <c r="F56" i="31"/>
  <c r="F57" i="31"/>
  <c r="F58" i="31"/>
  <c r="F59" i="31"/>
  <c r="F62" i="31"/>
  <c r="F63" i="31"/>
  <c r="F64" i="31"/>
  <c r="F65" i="31"/>
  <c r="F66" i="31"/>
  <c r="F69" i="31"/>
  <c r="F70" i="31"/>
  <c r="F71" i="31"/>
  <c r="F72" i="31"/>
  <c r="F73" i="31"/>
  <c r="F76" i="31"/>
  <c r="F77" i="31"/>
  <c r="F78" i="31"/>
  <c r="F79" i="31"/>
  <c r="F80" i="31"/>
  <c r="F90" i="31"/>
  <c r="F91" i="31"/>
  <c r="F92" i="31"/>
  <c r="F93" i="31"/>
  <c r="F94" i="31"/>
  <c r="F97" i="31"/>
  <c r="F98" i="31"/>
  <c r="F99" i="31"/>
  <c r="F100" i="31"/>
  <c r="F101" i="31"/>
  <c r="F104" i="31"/>
  <c r="F105" i="31"/>
  <c r="F106" i="31"/>
  <c r="F107" i="31"/>
  <c r="F108" i="31"/>
  <c r="F111" i="31"/>
  <c r="F112" i="31"/>
  <c r="F113" i="31"/>
  <c r="F114" i="31"/>
  <c r="F117" i="31"/>
  <c r="F118" i="31"/>
  <c r="F119" i="31"/>
  <c r="F120" i="31"/>
  <c r="F121" i="31"/>
  <c r="F124" i="31"/>
  <c r="F125" i="31"/>
  <c r="F126" i="31"/>
  <c r="F128" i="31"/>
  <c r="F129" i="31"/>
  <c r="F130" i="31"/>
  <c r="F131" i="31"/>
  <c r="F134" i="31"/>
  <c r="F7" i="31"/>
  <c r="D127" i="31"/>
  <c r="C127" i="31"/>
  <c r="H127" i="31" s="1"/>
  <c r="C123" i="31"/>
  <c r="H123" i="31" s="1"/>
  <c r="D123" i="31"/>
  <c r="C116" i="31"/>
  <c r="H116" i="31" s="1"/>
  <c r="D116" i="31"/>
  <c r="C110" i="31"/>
  <c r="H110" i="31" s="1"/>
  <c r="D110" i="31"/>
  <c r="C103" i="31"/>
  <c r="H103" i="31" s="1"/>
  <c r="D103" i="31"/>
  <c r="C96" i="31"/>
  <c r="C95" i="31" s="1"/>
  <c r="H95" i="31" s="1"/>
  <c r="D96" i="31"/>
  <c r="H89" i="31"/>
  <c r="D89" i="31"/>
  <c r="C83" i="31"/>
  <c r="H83" i="31" s="1"/>
  <c r="D83" i="31"/>
  <c r="C84" i="31"/>
  <c r="H84" i="31" s="1"/>
  <c r="D84" i="31"/>
  <c r="C85" i="31"/>
  <c r="H85" i="31" s="1"/>
  <c r="D85" i="31"/>
  <c r="C86" i="31"/>
  <c r="H86" i="31" s="1"/>
  <c r="C87" i="31"/>
  <c r="H87" i="31" s="1"/>
  <c r="D87" i="31"/>
  <c r="C75" i="31"/>
  <c r="H75" i="31" s="1"/>
  <c r="D75" i="31"/>
  <c r="C68" i="31"/>
  <c r="H68" i="31" s="1"/>
  <c r="D68" i="31"/>
  <c r="C61" i="31"/>
  <c r="H61" i="31" s="1"/>
  <c r="D61" i="31"/>
  <c r="C54" i="31"/>
  <c r="D54" i="31"/>
  <c r="C48" i="31"/>
  <c r="D48" i="31"/>
  <c r="C49" i="31"/>
  <c r="D49" i="31"/>
  <c r="C50" i="31"/>
  <c r="D50" i="31"/>
  <c r="C51" i="31"/>
  <c r="D51" i="31"/>
  <c r="C52" i="31"/>
  <c r="H52" i="31" s="1"/>
  <c r="D52" i="31"/>
  <c r="D33" i="31"/>
  <c r="H33" i="31"/>
  <c r="C19" i="31"/>
  <c r="H19" i="31" s="1"/>
  <c r="D19" i="31"/>
  <c r="C15" i="31"/>
  <c r="D15" i="31"/>
  <c r="C12" i="31"/>
  <c r="D12" i="31"/>
  <c r="H15" i="31" l="1"/>
  <c r="C11" i="31"/>
  <c r="D60" i="31"/>
  <c r="D74" i="31"/>
  <c r="D88" i="31"/>
  <c r="D102" i="31"/>
  <c r="D115" i="31"/>
  <c r="D39" i="31"/>
  <c r="H12" i="31"/>
  <c r="J12" i="31"/>
  <c r="J13" i="31"/>
  <c r="D53" i="31"/>
  <c r="D67" i="31"/>
  <c r="D95" i="31"/>
  <c r="D109" i="31"/>
  <c r="D122" i="31"/>
  <c r="D26" i="31"/>
  <c r="H28" i="31"/>
  <c r="D27" i="31"/>
  <c r="D25" i="31"/>
  <c r="C122" i="31"/>
  <c r="H122" i="31" s="1"/>
  <c r="H49" i="31"/>
  <c r="C26" i="31"/>
  <c r="H26" i="31" s="1"/>
  <c r="H50" i="31"/>
  <c r="C27" i="31"/>
  <c r="H27" i="31" s="1"/>
  <c r="H48" i="31"/>
  <c r="C25" i="31"/>
  <c r="H25" i="31" s="1"/>
  <c r="C102" i="31"/>
  <c r="H102" i="31" s="1"/>
  <c r="C109" i="31"/>
  <c r="H109" i="31" s="1"/>
  <c r="D31" i="31"/>
  <c r="H96" i="31"/>
  <c r="C115" i="31"/>
  <c r="H115" i="31" s="1"/>
  <c r="H54" i="31"/>
  <c r="C53" i="31"/>
  <c r="H53" i="31" s="1"/>
  <c r="C31" i="31"/>
  <c r="H31" i="31" s="1"/>
  <c r="H51" i="31"/>
  <c r="C47" i="31"/>
  <c r="C39" i="31"/>
  <c r="H39" i="31" s="1"/>
  <c r="D47" i="31"/>
  <c r="D82" i="31"/>
  <c r="C67" i="31"/>
  <c r="H67" i="31" s="1"/>
  <c r="H88" i="31"/>
  <c r="C60" i="31"/>
  <c r="H60" i="31" s="1"/>
  <c r="C74" i="31"/>
  <c r="H74" i="31" s="1"/>
  <c r="C82" i="31"/>
  <c r="H82" i="31" s="1"/>
  <c r="D32" i="31"/>
  <c r="H32" i="31"/>
  <c r="D11" i="31"/>
  <c r="B133" i="31"/>
  <c r="D81" i="31" l="1"/>
  <c r="E133" i="31"/>
  <c r="G133" i="31"/>
  <c r="D46" i="31"/>
  <c r="H47" i="31"/>
  <c r="C24" i="31"/>
  <c r="C23" i="31" s="1"/>
  <c r="H11" i="31"/>
  <c r="D24" i="31"/>
  <c r="C81" i="31"/>
  <c r="H81" i="31" s="1"/>
  <c r="F133" i="31"/>
  <c r="C46" i="31"/>
  <c r="H46" i="31" s="1"/>
  <c r="D23" i="31" l="1"/>
  <c r="D135" i="31" s="1"/>
  <c r="D138" i="31" s="1"/>
  <c r="H24" i="31"/>
  <c r="H23" i="31"/>
  <c r="B68" i="31"/>
  <c r="G68" i="31" l="1"/>
  <c r="E68" i="31"/>
  <c r="C135" i="31"/>
  <c r="H135" i="31" s="1"/>
  <c r="F68" i="31"/>
  <c r="B33" i="31"/>
  <c r="G33" i="31" l="1"/>
  <c r="E33" i="31"/>
  <c r="F33" i="31"/>
  <c r="B127" i="31"/>
  <c r="G127" i="31" l="1"/>
  <c r="E127" i="31"/>
  <c r="F127" i="31"/>
  <c r="B32" i="31"/>
  <c r="G32" i="31" l="1"/>
  <c r="E32" i="31"/>
  <c r="F32" i="31"/>
  <c r="B67" i="31"/>
  <c r="G67" i="31" l="1"/>
  <c r="E67" i="31"/>
  <c r="F67" i="31"/>
  <c r="B87" i="31"/>
  <c r="G87" i="31" l="1"/>
  <c r="E87" i="31"/>
  <c r="F87" i="31"/>
  <c r="B123" i="31"/>
  <c r="G123" i="31" l="1"/>
  <c r="E123" i="31"/>
  <c r="F123" i="31"/>
  <c r="B8" i="31"/>
  <c r="B12" i="31" l="1"/>
  <c r="B15" i="31"/>
  <c r="G15" i="31" l="1"/>
  <c r="E15" i="31"/>
  <c r="G12" i="31"/>
  <c r="E12" i="31"/>
  <c r="F15" i="31"/>
  <c r="F12" i="31"/>
  <c r="B19" i="31" l="1"/>
  <c r="G19" i="31" l="1"/>
  <c r="E19" i="31"/>
  <c r="B11" i="31"/>
  <c r="F19" i="31"/>
  <c r="B132" i="31"/>
  <c r="G11" i="31" l="1"/>
  <c r="E11" i="31"/>
  <c r="E132" i="31"/>
  <c r="G132" i="31"/>
  <c r="F132" i="31"/>
  <c r="F11" i="31"/>
  <c r="B103" i="31"/>
  <c r="G103" i="31" l="1"/>
  <c r="E103" i="31"/>
  <c r="F103" i="31"/>
  <c r="B54" i="31"/>
  <c r="G54" i="31" l="1"/>
  <c r="E54" i="31"/>
  <c r="F54" i="31"/>
  <c r="B75" i="31"/>
  <c r="G75" i="31" l="1"/>
  <c r="E75" i="31"/>
  <c r="F75" i="31"/>
  <c r="B96" i="31"/>
  <c r="G96" i="31" l="1"/>
  <c r="E96" i="31"/>
  <c r="F96" i="31"/>
  <c r="B83" i="31"/>
  <c r="G83" i="31" l="1"/>
  <c r="E83" i="31"/>
  <c r="F83" i="31"/>
  <c r="B85" i="31"/>
  <c r="G85" i="31" l="1"/>
  <c r="E85" i="31"/>
  <c r="F85" i="31"/>
  <c r="B51" i="31" l="1"/>
  <c r="G51" i="31" l="1"/>
  <c r="E51" i="31"/>
  <c r="F51" i="31"/>
  <c r="B122" i="31" l="1"/>
  <c r="B116" i="31"/>
  <c r="B110" i="31"/>
  <c r="B89" i="31"/>
  <c r="B84" i="31"/>
  <c r="B86" i="31"/>
  <c r="B61" i="31"/>
  <c r="B53" i="31"/>
  <c r="B48" i="31"/>
  <c r="B49" i="31"/>
  <c r="B50" i="31"/>
  <c r="B52" i="31"/>
  <c r="G53" i="31" l="1"/>
  <c r="E53" i="31"/>
  <c r="G110" i="31"/>
  <c r="E110" i="31"/>
  <c r="G52" i="31"/>
  <c r="E52" i="31"/>
  <c r="G50" i="31"/>
  <c r="E50" i="31"/>
  <c r="G49" i="31"/>
  <c r="E49" i="31"/>
  <c r="G116" i="31"/>
  <c r="E116" i="31"/>
  <c r="G89" i="31"/>
  <c r="E89" i="31"/>
  <c r="G61" i="31"/>
  <c r="E61" i="31"/>
  <c r="G86" i="31"/>
  <c r="E86" i="31"/>
  <c r="G48" i="31"/>
  <c r="E48" i="31"/>
  <c r="G84" i="31"/>
  <c r="E84" i="31"/>
  <c r="G122" i="31"/>
  <c r="E122" i="31"/>
  <c r="F89" i="31"/>
  <c r="F48" i="31"/>
  <c r="F110" i="31"/>
  <c r="B28" i="31"/>
  <c r="F86" i="31"/>
  <c r="F116" i="31"/>
  <c r="F49" i="31"/>
  <c r="B31" i="31"/>
  <c r="F52" i="31"/>
  <c r="F53" i="31"/>
  <c r="F50" i="31"/>
  <c r="F61" i="31"/>
  <c r="F84" i="31"/>
  <c r="F122" i="31"/>
  <c r="B40" i="31"/>
  <c r="B74" i="31"/>
  <c r="B115" i="31"/>
  <c r="B109" i="31"/>
  <c r="B102" i="31"/>
  <c r="B95" i="31"/>
  <c r="B88" i="31"/>
  <c r="B82" i="31"/>
  <c r="B60" i="31"/>
  <c r="B25" i="31"/>
  <c r="B27" i="31"/>
  <c r="B26" i="31"/>
  <c r="B47" i="31"/>
  <c r="G25" i="31" l="1"/>
  <c r="E25" i="31"/>
  <c r="G95" i="31"/>
  <c r="E95" i="31"/>
  <c r="G74" i="31"/>
  <c r="E74" i="31"/>
  <c r="G31" i="31"/>
  <c r="E31" i="31"/>
  <c r="G28" i="31"/>
  <c r="E28" i="31"/>
  <c r="G47" i="31"/>
  <c r="E47" i="31"/>
  <c r="G60" i="31"/>
  <c r="E60" i="31"/>
  <c r="G102" i="31"/>
  <c r="E102" i="31"/>
  <c r="G40" i="31"/>
  <c r="E40" i="31"/>
  <c r="G26" i="31"/>
  <c r="E26" i="31"/>
  <c r="G82" i="31"/>
  <c r="E82" i="31"/>
  <c r="G109" i="31"/>
  <c r="E109" i="31"/>
  <c r="G27" i="31"/>
  <c r="E27" i="31"/>
  <c r="G88" i="31"/>
  <c r="E88" i="31"/>
  <c r="G115" i="31"/>
  <c r="E115" i="31"/>
  <c r="F109" i="31"/>
  <c r="F27" i="31"/>
  <c r="F88" i="31"/>
  <c r="F115" i="31"/>
  <c r="F31" i="31"/>
  <c r="F28" i="31"/>
  <c r="F26" i="31"/>
  <c r="F40" i="31"/>
  <c r="F25" i="31"/>
  <c r="F95" i="31"/>
  <c r="F74" i="31"/>
  <c r="F82" i="31"/>
  <c r="F47" i="31"/>
  <c r="F60" i="31"/>
  <c r="F102" i="31"/>
  <c r="B24" i="31"/>
  <c r="B39" i="31"/>
  <c r="B46" i="31"/>
  <c r="B81" i="31"/>
  <c r="G46" i="31" l="1"/>
  <c r="E46" i="31"/>
  <c r="G39" i="31"/>
  <c r="E39" i="31"/>
  <c r="G24" i="31"/>
  <c r="E24" i="31"/>
  <c r="G81" i="31"/>
  <c r="E81" i="31"/>
  <c r="F39" i="31"/>
  <c r="F81" i="31"/>
  <c r="F46" i="31"/>
  <c r="B23" i="31"/>
  <c r="F24" i="31"/>
  <c r="G23" i="31" l="1"/>
  <c r="E23" i="31"/>
  <c r="F23" i="31"/>
  <c r="B135" i="31"/>
  <c r="G135" i="31" l="1"/>
  <c r="E135" i="31"/>
  <c r="F135" i="31"/>
  <c r="D58" i="29" l="1"/>
  <c r="C58" i="29"/>
  <c r="D14" i="29"/>
  <c r="D17" i="29"/>
  <c r="C129" i="29"/>
  <c r="E102" i="29"/>
  <c r="D129" i="29"/>
  <c r="D130" i="29"/>
  <c r="F17" i="29" l="1"/>
  <c r="D99" i="29"/>
  <c r="F99" i="29" s="1"/>
  <c r="D100" i="29"/>
  <c r="E100" i="29" s="1"/>
  <c r="E142" i="29"/>
  <c r="E140" i="29"/>
  <c r="D137" i="29"/>
  <c r="H135" i="29"/>
  <c r="G135" i="29"/>
  <c r="F135" i="29"/>
  <c r="E135" i="29"/>
  <c r="H134" i="29"/>
  <c r="G134" i="29"/>
  <c r="F134" i="29"/>
  <c r="E134" i="29"/>
  <c r="D133" i="29"/>
  <c r="H133" i="29" s="1"/>
  <c r="C133" i="29"/>
  <c r="B133" i="29"/>
  <c r="H132" i="29"/>
  <c r="G132" i="29"/>
  <c r="F132" i="29"/>
  <c r="E132" i="29"/>
  <c r="G131" i="29"/>
  <c r="D131" i="29"/>
  <c r="H131" i="29" s="1"/>
  <c r="C131" i="29"/>
  <c r="H130" i="29"/>
  <c r="G130" i="29"/>
  <c r="E130" i="29"/>
  <c r="G129" i="29"/>
  <c r="F129" i="29"/>
  <c r="E129" i="29"/>
  <c r="H129" i="29"/>
  <c r="C128" i="29"/>
  <c r="D128" i="29"/>
  <c r="H128" i="29" s="1"/>
  <c r="B128" i="29"/>
  <c r="G128" i="29" s="1"/>
  <c r="H127" i="29"/>
  <c r="G127" i="29"/>
  <c r="F127" i="29"/>
  <c r="E127" i="29"/>
  <c r="G126" i="29"/>
  <c r="D126" i="29"/>
  <c r="H126" i="29" s="1"/>
  <c r="C126" i="29"/>
  <c r="C124" i="29" s="1"/>
  <c r="C123" i="29" s="1"/>
  <c r="H125" i="29"/>
  <c r="G125" i="29"/>
  <c r="F125" i="29"/>
  <c r="E125" i="29"/>
  <c r="B124" i="29"/>
  <c r="H122" i="29"/>
  <c r="G122" i="29"/>
  <c r="F122" i="29"/>
  <c r="E122" i="29"/>
  <c r="H121" i="29"/>
  <c r="G121" i="29"/>
  <c r="F121" i="29"/>
  <c r="E121" i="29"/>
  <c r="H120" i="29"/>
  <c r="G120" i="29"/>
  <c r="F120" i="29"/>
  <c r="E120" i="29"/>
  <c r="H119" i="29"/>
  <c r="G119" i="29"/>
  <c r="F119" i="29"/>
  <c r="E119" i="29"/>
  <c r="H118" i="29"/>
  <c r="G118" i="29"/>
  <c r="F118" i="29"/>
  <c r="E118" i="29"/>
  <c r="D117" i="29"/>
  <c r="C117" i="29"/>
  <c r="C116" i="29" s="1"/>
  <c r="B117" i="29"/>
  <c r="G117" i="29" s="1"/>
  <c r="H115" i="29"/>
  <c r="G115" i="29"/>
  <c r="F115" i="29"/>
  <c r="E115" i="29"/>
  <c r="H114" i="29"/>
  <c r="G114" i="29"/>
  <c r="F114" i="29"/>
  <c r="E114" i="29"/>
  <c r="H113" i="29"/>
  <c r="G113" i="29"/>
  <c r="F113" i="29"/>
  <c r="E113" i="29"/>
  <c r="H112" i="29"/>
  <c r="G112" i="29"/>
  <c r="F112" i="29"/>
  <c r="E112" i="29"/>
  <c r="D111" i="29"/>
  <c r="H111" i="29" s="1"/>
  <c r="C111" i="29"/>
  <c r="C110" i="29" s="1"/>
  <c r="B111" i="29"/>
  <c r="H109" i="29"/>
  <c r="G109" i="29"/>
  <c r="F109" i="29"/>
  <c r="E109" i="29"/>
  <c r="D108" i="29"/>
  <c r="H108" i="29" s="1"/>
  <c r="B108" i="29"/>
  <c r="G108" i="29" s="1"/>
  <c r="H107" i="29"/>
  <c r="G107" i="29"/>
  <c r="F107" i="29"/>
  <c r="E107" i="29"/>
  <c r="H106" i="29"/>
  <c r="G106" i="29"/>
  <c r="F106" i="29"/>
  <c r="E106" i="29"/>
  <c r="H105" i="29"/>
  <c r="G105" i="29"/>
  <c r="F105" i="29"/>
  <c r="E105" i="29"/>
  <c r="D104" i="29"/>
  <c r="H104" i="29" s="1"/>
  <c r="C104" i="29"/>
  <c r="C103" i="29" s="1"/>
  <c r="B104" i="29"/>
  <c r="H102" i="29"/>
  <c r="G102" i="29"/>
  <c r="F102" i="29"/>
  <c r="D101" i="29"/>
  <c r="H101" i="29" s="1"/>
  <c r="B101" i="29"/>
  <c r="G101" i="29" s="1"/>
  <c r="G100" i="29"/>
  <c r="C100" i="29"/>
  <c r="C97" i="29" s="1"/>
  <c r="G99" i="29"/>
  <c r="H98" i="29"/>
  <c r="G98" i="29"/>
  <c r="F98" i="29"/>
  <c r="E98" i="29"/>
  <c r="B97" i="29"/>
  <c r="G97" i="29" s="1"/>
  <c r="H95" i="29"/>
  <c r="G95" i="29"/>
  <c r="F95" i="29"/>
  <c r="E95" i="29"/>
  <c r="D94" i="29"/>
  <c r="H94" i="29" s="1"/>
  <c r="B94" i="29"/>
  <c r="G94" i="29" s="1"/>
  <c r="G93" i="29"/>
  <c r="D93" i="29"/>
  <c r="E93" i="29" s="1"/>
  <c r="C93" i="29"/>
  <c r="C90" i="29" s="1"/>
  <c r="C89" i="29" s="1"/>
  <c r="H92" i="29"/>
  <c r="G92" i="29"/>
  <c r="F92" i="29"/>
  <c r="E92" i="29"/>
  <c r="H91" i="29"/>
  <c r="G91" i="29"/>
  <c r="F91" i="29"/>
  <c r="E91" i="29"/>
  <c r="B90" i="29"/>
  <c r="D88" i="29"/>
  <c r="H88" i="29" s="1"/>
  <c r="C88" i="29"/>
  <c r="B88" i="29"/>
  <c r="G88" i="29" s="1"/>
  <c r="C87" i="29"/>
  <c r="B86" i="29"/>
  <c r="G86" i="29" s="1"/>
  <c r="D85" i="29"/>
  <c r="H85" i="29" s="1"/>
  <c r="C85" i="29"/>
  <c r="B85" i="29"/>
  <c r="G85" i="29" s="1"/>
  <c r="D84" i="29"/>
  <c r="H84" i="29" s="1"/>
  <c r="C84" i="29"/>
  <c r="B84" i="29"/>
  <c r="G84" i="29" s="1"/>
  <c r="H81" i="29"/>
  <c r="G81" i="29"/>
  <c r="F81" i="29"/>
  <c r="E81" i="29"/>
  <c r="G80" i="29"/>
  <c r="D80" i="29"/>
  <c r="H80" i="29" s="1"/>
  <c r="D79" i="29"/>
  <c r="H79" i="29" s="1"/>
  <c r="C79" i="29"/>
  <c r="C76" i="29" s="1"/>
  <c r="C75" i="29" s="1"/>
  <c r="B79" i="29"/>
  <c r="H78" i="29"/>
  <c r="G78" i="29"/>
  <c r="F78" i="29"/>
  <c r="E78" i="29"/>
  <c r="H77" i="29"/>
  <c r="G77" i="29"/>
  <c r="F77" i="29"/>
  <c r="E77" i="29"/>
  <c r="H74" i="29"/>
  <c r="G74" i="29"/>
  <c r="F74" i="29"/>
  <c r="E74" i="29"/>
  <c r="H73" i="29"/>
  <c r="G73" i="29"/>
  <c r="F73" i="29"/>
  <c r="E73" i="29"/>
  <c r="D72" i="29"/>
  <c r="D69" i="29" s="1"/>
  <c r="H69" i="29" s="1"/>
  <c r="C72" i="29"/>
  <c r="C69" i="29" s="1"/>
  <c r="C68" i="29" s="1"/>
  <c r="B72" i="29"/>
  <c r="G72" i="29" s="1"/>
  <c r="H71" i="29"/>
  <c r="G71" i="29"/>
  <c r="F71" i="29"/>
  <c r="E71" i="29"/>
  <c r="H70" i="29"/>
  <c r="G70" i="29"/>
  <c r="F70" i="29"/>
  <c r="E70" i="29"/>
  <c r="H67" i="29"/>
  <c r="G67" i="29"/>
  <c r="F67" i="29"/>
  <c r="E67" i="29"/>
  <c r="D66" i="29"/>
  <c r="B66" i="29"/>
  <c r="G66" i="29" s="1"/>
  <c r="G65" i="29"/>
  <c r="F65" i="29"/>
  <c r="E65" i="29"/>
  <c r="H65" i="29"/>
  <c r="C65" i="29"/>
  <c r="C62" i="29" s="1"/>
  <c r="C61" i="29" s="1"/>
  <c r="H64" i="29"/>
  <c r="G64" i="29"/>
  <c r="F64" i="29"/>
  <c r="E64" i="29"/>
  <c r="H63" i="29"/>
  <c r="G63" i="29"/>
  <c r="F63" i="29"/>
  <c r="E63" i="29"/>
  <c r="D62" i="29"/>
  <c r="H62" i="29" s="1"/>
  <c r="B62" i="29"/>
  <c r="G62" i="29" s="1"/>
  <c r="B61" i="29"/>
  <c r="G61" i="29" s="1"/>
  <c r="H60" i="29"/>
  <c r="G60" i="29"/>
  <c r="F60" i="29"/>
  <c r="E60" i="29"/>
  <c r="D59" i="29"/>
  <c r="H59" i="29" s="1"/>
  <c r="B59" i="29"/>
  <c r="G59" i="29" s="1"/>
  <c r="H58" i="29"/>
  <c r="B58" i="29"/>
  <c r="B55" i="29" s="1"/>
  <c r="H57" i="29"/>
  <c r="G57" i="29"/>
  <c r="F57" i="29"/>
  <c r="E57" i="29"/>
  <c r="C57" i="29"/>
  <c r="C55" i="29" s="1"/>
  <c r="H56" i="29"/>
  <c r="G56" i="29"/>
  <c r="F56" i="29"/>
  <c r="E56" i="29"/>
  <c r="D55" i="29"/>
  <c r="H55" i="29" s="1"/>
  <c r="D53" i="29"/>
  <c r="H53" i="29" s="1"/>
  <c r="C53" i="29"/>
  <c r="B53" i="29"/>
  <c r="G53" i="29" s="1"/>
  <c r="C52" i="29"/>
  <c r="C29" i="29" s="1"/>
  <c r="D50" i="29"/>
  <c r="B50" i="29"/>
  <c r="G50" i="29" s="1"/>
  <c r="D49" i="29"/>
  <c r="H49" i="29" s="1"/>
  <c r="C49" i="29"/>
  <c r="B49" i="29"/>
  <c r="G49" i="29" s="1"/>
  <c r="H46" i="29"/>
  <c r="B46" i="29"/>
  <c r="F46" i="29" s="1"/>
  <c r="H45" i="29"/>
  <c r="B45" i="29"/>
  <c r="D44" i="29"/>
  <c r="C44" i="29"/>
  <c r="C41" i="29" s="1"/>
  <c r="C40" i="29" s="1"/>
  <c r="B44" i="29"/>
  <c r="G44" i="29" s="1"/>
  <c r="H43" i="29"/>
  <c r="G43" i="29"/>
  <c r="F43" i="29"/>
  <c r="E43" i="29"/>
  <c r="H42" i="29"/>
  <c r="G42" i="29"/>
  <c r="F42" i="29"/>
  <c r="E42" i="29"/>
  <c r="H39" i="29"/>
  <c r="G39" i="29"/>
  <c r="F39" i="29"/>
  <c r="E39" i="29"/>
  <c r="H38" i="29"/>
  <c r="B38" i="29"/>
  <c r="G38" i="29" s="1"/>
  <c r="D37" i="29"/>
  <c r="D34" i="29" s="1"/>
  <c r="C37" i="29"/>
  <c r="B37" i="29"/>
  <c r="H36" i="29"/>
  <c r="G36" i="29"/>
  <c r="F36" i="29"/>
  <c r="E36" i="29"/>
  <c r="H35" i="29"/>
  <c r="G35" i="29"/>
  <c r="F35" i="29"/>
  <c r="E35" i="29"/>
  <c r="D32" i="29"/>
  <c r="H32" i="29" s="1"/>
  <c r="G31" i="29"/>
  <c r="D31" i="29"/>
  <c r="H31" i="29" s="1"/>
  <c r="C31" i="29"/>
  <c r="C22" i="29" s="1"/>
  <c r="G30" i="29"/>
  <c r="D30" i="29"/>
  <c r="D21" i="29" s="1"/>
  <c r="C30" i="29"/>
  <c r="C21" i="29" s="1"/>
  <c r="G23" i="29"/>
  <c r="B22" i="29"/>
  <c r="B21" i="29"/>
  <c r="G21" i="29" s="1"/>
  <c r="G19" i="29"/>
  <c r="D19" i="29"/>
  <c r="F19" i="29" s="1"/>
  <c r="C19" i="29"/>
  <c r="H18" i="29"/>
  <c r="G18" i="29"/>
  <c r="F18" i="29"/>
  <c r="E18" i="29"/>
  <c r="G17" i="29"/>
  <c r="H17" i="29"/>
  <c r="C17" i="29"/>
  <c r="B16" i="29"/>
  <c r="G16" i="29" s="1"/>
  <c r="H15" i="29"/>
  <c r="B15" i="29"/>
  <c r="G15" i="29" s="1"/>
  <c r="C14" i="29"/>
  <c r="C13" i="29" s="1"/>
  <c r="B14" i="29"/>
  <c r="G14" i="29" s="1"/>
  <c r="C7" i="29"/>
  <c r="C32" i="29" l="1"/>
  <c r="C23" i="29" s="1"/>
  <c r="H99" i="29"/>
  <c r="F100" i="29"/>
  <c r="C26" i="29"/>
  <c r="C16" i="29"/>
  <c r="C50" i="29"/>
  <c r="C27" i="29" s="1"/>
  <c r="D22" i="29"/>
  <c r="H22" i="29" s="1"/>
  <c r="D97" i="29"/>
  <c r="H97" i="29" s="1"/>
  <c r="H100" i="29"/>
  <c r="D23" i="29"/>
  <c r="F23" i="29" s="1"/>
  <c r="G46" i="29"/>
  <c r="D51" i="29"/>
  <c r="H51" i="29" s="1"/>
  <c r="C96" i="29"/>
  <c r="C83" i="29"/>
  <c r="C82" i="29" s="1"/>
  <c r="B87" i="29"/>
  <c r="G87" i="29" s="1"/>
  <c r="E38" i="29"/>
  <c r="B26" i="29"/>
  <c r="G26" i="29" s="1"/>
  <c r="F104" i="29"/>
  <c r="E22" i="29"/>
  <c r="D76" i="29"/>
  <c r="H76" i="29" s="1"/>
  <c r="F38" i="29"/>
  <c r="E59" i="29"/>
  <c r="F79" i="29"/>
  <c r="H93" i="29"/>
  <c r="E80" i="29"/>
  <c r="F44" i="29"/>
  <c r="B96" i="29"/>
  <c r="G96" i="29" s="1"/>
  <c r="B116" i="29"/>
  <c r="G116" i="29" s="1"/>
  <c r="E31" i="29"/>
  <c r="B41" i="29"/>
  <c r="G41" i="29" s="1"/>
  <c r="E46" i="29"/>
  <c r="F72" i="29"/>
  <c r="F133" i="29"/>
  <c r="F31" i="29"/>
  <c r="G55" i="29"/>
  <c r="B54" i="29"/>
  <c r="G54" i="29" s="1"/>
  <c r="H34" i="29"/>
  <c r="D33" i="29"/>
  <c r="H33" i="29" s="1"/>
  <c r="E15" i="29"/>
  <c r="E53" i="29"/>
  <c r="D52" i="29"/>
  <c r="G58" i="29"/>
  <c r="E128" i="29"/>
  <c r="F15" i="29"/>
  <c r="B13" i="29"/>
  <c r="G13" i="29" s="1"/>
  <c r="E72" i="29"/>
  <c r="E37" i="29"/>
  <c r="M28" i="29"/>
  <c r="E94" i="29"/>
  <c r="C20" i="29"/>
  <c r="C12" i="29" s="1"/>
  <c r="C34" i="29"/>
  <c r="C33" i="29" s="1"/>
  <c r="N28" i="29"/>
  <c r="F94" i="29"/>
  <c r="D110" i="29"/>
  <c r="H110" i="29" s="1"/>
  <c r="E131" i="29"/>
  <c r="H37" i="29"/>
  <c r="O28" i="29"/>
  <c r="D68" i="29"/>
  <c r="H68" i="29" s="1"/>
  <c r="F111" i="29"/>
  <c r="F131" i="29"/>
  <c r="F14" i="29"/>
  <c r="F59" i="29"/>
  <c r="B69" i="29"/>
  <c r="F69" i="29" s="1"/>
  <c r="G133" i="29"/>
  <c r="D16" i="29"/>
  <c r="E16" i="29" s="1"/>
  <c r="D26" i="29"/>
  <c r="F26" i="29" s="1"/>
  <c r="E17" i="29"/>
  <c r="D27" i="29"/>
  <c r="H27" i="29" s="1"/>
  <c r="E85" i="29"/>
  <c r="E99" i="29"/>
  <c r="E21" i="29"/>
  <c r="H21" i="29"/>
  <c r="F21" i="29"/>
  <c r="H52" i="29"/>
  <c r="C48" i="29"/>
  <c r="C54" i="29"/>
  <c r="C47" i="29" s="1"/>
  <c r="H30" i="29"/>
  <c r="H19" i="29"/>
  <c r="G45" i="29"/>
  <c r="C51" i="29"/>
  <c r="F53" i="29"/>
  <c r="H66" i="29"/>
  <c r="F117" i="29"/>
  <c r="E117" i="29"/>
  <c r="D116" i="29"/>
  <c r="G124" i="29"/>
  <c r="B123" i="29"/>
  <c r="G123" i="29" s="1"/>
  <c r="D13" i="29"/>
  <c r="E14" i="29"/>
  <c r="E19" i="29"/>
  <c r="B27" i="29"/>
  <c r="G27" i="29" s="1"/>
  <c r="F30" i="29"/>
  <c r="E49" i="29"/>
  <c r="E50" i="29"/>
  <c r="F58" i="29"/>
  <c r="E58" i="29"/>
  <c r="F84" i="29"/>
  <c r="E84" i="29"/>
  <c r="H14" i="29"/>
  <c r="G22" i="29"/>
  <c r="E30" i="29"/>
  <c r="E44" i="29"/>
  <c r="E79" i="29"/>
  <c r="G79" i="29"/>
  <c r="B76" i="29"/>
  <c r="B32" i="29"/>
  <c r="G32" i="29" s="1"/>
  <c r="F37" i="29"/>
  <c r="D41" i="29"/>
  <c r="H44" i="29"/>
  <c r="F49" i="29"/>
  <c r="F50" i="29"/>
  <c r="F62" i="29"/>
  <c r="E62" i="29"/>
  <c r="D61" i="29"/>
  <c r="F93" i="29"/>
  <c r="D90" i="29"/>
  <c r="D86" i="29"/>
  <c r="F97" i="29"/>
  <c r="E104" i="29"/>
  <c r="G104" i="29"/>
  <c r="B103" i="29"/>
  <c r="G103" i="29" s="1"/>
  <c r="H117" i="29"/>
  <c r="B34" i="29"/>
  <c r="G37" i="29"/>
  <c r="F45" i="29"/>
  <c r="E45" i="29"/>
  <c r="F55" i="29"/>
  <c r="E55" i="29"/>
  <c r="D54" i="29"/>
  <c r="F66" i="29"/>
  <c r="E66" i="29"/>
  <c r="F88" i="29"/>
  <c r="E88" i="29"/>
  <c r="B83" i="29"/>
  <c r="G90" i="29"/>
  <c r="B89" i="29"/>
  <c r="G89" i="29" s="1"/>
  <c r="F101" i="29"/>
  <c r="E101" i="29"/>
  <c r="D87" i="29"/>
  <c r="D29" i="29" s="1"/>
  <c r="D103" i="29"/>
  <c r="F108" i="29"/>
  <c r="E108" i="29"/>
  <c r="E111" i="29"/>
  <c r="G111" i="29"/>
  <c r="B110" i="29"/>
  <c r="F126" i="29"/>
  <c r="D124" i="29"/>
  <c r="E126" i="29"/>
  <c r="H50" i="29"/>
  <c r="B52" i="29"/>
  <c r="E52" i="29" s="1"/>
  <c r="H72" i="29"/>
  <c r="F80" i="29"/>
  <c r="F85" i="29"/>
  <c r="C86" i="29"/>
  <c r="F128" i="29"/>
  <c r="B51" i="29"/>
  <c r="G51" i="29" s="1"/>
  <c r="E133" i="29"/>
  <c r="C124" i="28"/>
  <c r="D124" i="28"/>
  <c r="D123" i="28" s="1"/>
  <c r="D67" i="28"/>
  <c r="C58" i="27"/>
  <c r="C44" i="27"/>
  <c r="C57" i="27"/>
  <c r="D93" i="27"/>
  <c r="E69" i="29" l="1"/>
  <c r="F22" i="29"/>
  <c r="D20" i="29"/>
  <c r="H20" i="29" s="1"/>
  <c r="E23" i="29"/>
  <c r="F110" i="29"/>
  <c r="H23" i="29"/>
  <c r="F16" i="29"/>
  <c r="D28" i="29"/>
  <c r="H28" i="29" s="1"/>
  <c r="D75" i="29"/>
  <c r="H75" i="29" s="1"/>
  <c r="D96" i="29"/>
  <c r="H96" i="29" s="1"/>
  <c r="F76" i="29"/>
  <c r="D48" i="29"/>
  <c r="E97" i="29"/>
  <c r="B68" i="29"/>
  <c r="G68" i="29" s="1"/>
  <c r="B40" i="29"/>
  <c r="G40" i="29" s="1"/>
  <c r="G69" i="29"/>
  <c r="C25" i="29"/>
  <c r="C24" i="29" s="1"/>
  <c r="C145" i="29" s="1"/>
  <c r="B48" i="29"/>
  <c r="G48" i="29" s="1"/>
  <c r="H26" i="29"/>
  <c r="E26" i="29"/>
  <c r="H16" i="29"/>
  <c r="C28" i="29"/>
  <c r="F32" i="29"/>
  <c r="F52" i="29"/>
  <c r="B28" i="29"/>
  <c r="G28" i="29" s="1"/>
  <c r="P28" i="29"/>
  <c r="H48" i="29"/>
  <c r="G110" i="29"/>
  <c r="E110" i="29"/>
  <c r="C144" i="29"/>
  <c r="E61" i="29"/>
  <c r="H61" i="29"/>
  <c r="F61" i="29"/>
  <c r="G76" i="29"/>
  <c r="B75" i="29"/>
  <c r="E76" i="29"/>
  <c r="H29" i="29"/>
  <c r="F68" i="29"/>
  <c r="E124" i="29"/>
  <c r="D123" i="29"/>
  <c r="H124" i="29"/>
  <c r="F124" i="29"/>
  <c r="F87" i="29"/>
  <c r="E87" i="29"/>
  <c r="H87" i="29"/>
  <c r="E54" i="29"/>
  <c r="H54" i="29"/>
  <c r="F54" i="29"/>
  <c r="D47" i="29"/>
  <c r="F96" i="29"/>
  <c r="E96" i="29"/>
  <c r="E86" i="29"/>
  <c r="H86" i="29"/>
  <c r="F86" i="29"/>
  <c r="E51" i="29"/>
  <c r="F27" i="29"/>
  <c r="E32" i="29"/>
  <c r="E13" i="29"/>
  <c r="F13" i="29"/>
  <c r="H13" i="29"/>
  <c r="H103" i="29"/>
  <c r="F103" i="29"/>
  <c r="E103" i="29"/>
  <c r="G34" i="29"/>
  <c r="B33" i="29"/>
  <c r="B25" i="29"/>
  <c r="F34" i="29"/>
  <c r="E34" i="29"/>
  <c r="G52" i="29"/>
  <c r="B29" i="29"/>
  <c r="E29" i="29" s="1"/>
  <c r="B82" i="29"/>
  <c r="G82" i="29" s="1"/>
  <c r="G83" i="29"/>
  <c r="E90" i="29"/>
  <c r="D89" i="29"/>
  <c r="H90" i="29"/>
  <c r="D83" i="29"/>
  <c r="F90" i="29"/>
  <c r="F41" i="29"/>
  <c r="E41" i="29"/>
  <c r="D40" i="29"/>
  <c r="H41" i="29"/>
  <c r="F51" i="29"/>
  <c r="F116" i="29"/>
  <c r="E116" i="29"/>
  <c r="H116" i="29"/>
  <c r="E27" i="29"/>
  <c r="C129" i="27"/>
  <c r="D129" i="27"/>
  <c r="D44" i="27"/>
  <c r="D12" i="29" l="1"/>
  <c r="H12" i="29" s="1"/>
  <c r="E68" i="29"/>
  <c r="F48" i="29"/>
  <c r="E48" i="29"/>
  <c r="D25" i="29"/>
  <c r="D24" i="29" s="1"/>
  <c r="D136" i="29" s="1"/>
  <c r="D153" i="29" s="1"/>
  <c r="D144" i="29"/>
  <c r="C146" i="29"/>
  <c r="C147" i="29" s="1"/>
  <c r="C136" i="29"/>
  <c r="C138" i="29" s="1"/>
  <c r="F28" i="29"/>
  <c r="F29" i="29"/>
  <c r="E28" i="29"/>
  <c r="H123" i="29"/>
  <c r="F123" i="29"/>
  <c r="E123" i="29"/>
  <c r="G75" i="29"/>
  <c r="F75" i="29"/>
  <c r="E75" i="29"/>
  <c r="F83" i="29"/>
  <c r="E83" i="29"/>
  <c r="D82" i="29"/>
  <c r="H83" i="29"/>
  <c r="G33" i="29"/>
  <c r="E33" i="29"/>
  <c r="F33" i="29"/>
  <c r="E40" i="29"/>
  <c r="H40" i="29"/>
  <c r="F40" i="29"/>
  <c r="B47" i="29"/>
  <c r="G47" i="29" s="1"/>
  <c r="H89" i="29"/>
  <c r="F89" i="29"/>
  <c r="E89" i="29"/>
  <c r="G29" i="29"/>
  <c r="B20" i="29"/>
  <c r="G25" i="29"/>
  <c r="B24" i="29"/>
  <c r="H47" i="29"/>
  <c r="D14" i="27"/>
  <c r="H136" i="29" l="1"/>
  <c r="B145" i="29"/>
  <c r="G24" i="29"/>
  <c r="E47" i="29"/>
  <c r="G20" i="29"/>
  <c r="B12" i="29"/>
  <c r="E20" i="29"/>
  <c r="F20" i="29"/>
  <c r="F47" i="29"/>
  <c r="E25" i="29"/>
  <c r="H25" i="29"/>
  <c r="F25" i="29"/>
  <c r="E82" i="29"/>
  <c r="H82" i="29"/>
  <c r="F82" i="29"/>
  <c r="D17" i="27"/>
  <c r="D145" i="29" l="1"/>
  <c r="D146" i="29" s="1"/>
  <c r="E24" i="29"/>
  <c r="E145" i="29" s="1"/>
  <c r="H24" i="29"/>
  <c r="F24" i="29"/>
  <c r="B136" i="29"/>
  <c r="G12" i="29"/>
  <c r="B144" i="29"/>
  <c r="B146" i="29" s="1"/>
  <c r="B147" i="29" s="1"/>
  <c r="E12" i="29"/>
  <c r="E144" i="29" s="1"/>
  <c r="F12" i="29"/>
  <c r="D137" i="27"/>
  <c r="G136" i="29" l="1"/>
  <c r="B138" i="29"/>
  <c r="D150" i="29"/>
  <c r="F136" i="29"/>
  <c r="E136" i="29"/>
  <c r="D138" i="29"/>
  <c r="E138" i="29" s="1"/>
  <c r="E146" i="29"/>
  <c r="D147" i="29"/>
  <c r="C37" i="27"/>
  <c r="C17" i="27"/>
  <c r="C14" i="27"/>
  <c r="D79" i="27" l="1"/>
  <c r="D72" i="27" l="1"/>
  <c r="D65" i="27"/>
  <c r="D58" i="27"/>
  <c r="C72" i="27" l="1"/>
  <c r="D126" i="27"/>
  <c r="C126" i="27"/>
  <c r="C93" i="27"/>
  <c r="C131" i="27"/>
  <c r="D37" i="27"/>
  <c r="D133" i="27" l="1"/>
  <c r="E142" i="27" l="1"/>
  <c r="E140" i="27"/>
  <c r="D16" i="28" l="1"/>
  <c r="C16" i="28"/>
  <c r="D13" i="27" l="1"/>
  <c r="D126" i="28" l="1"/>
  <c r="C126" i="28"/>
  <c r="C116" i="28" l="1"/>
  <c r="C103" i="28"/>
  <c r="C96" i="28"/>
  <c r="C75" i="28"/>
  <c r="C61" i="28"/>
  <c r="C40" i="28"/>
  <c r="F40" i="28" s="1"/>
  <c r="C26" i="28"/>
  <c r="C25" i="28"/>
  <c r="F12" i="28"/>
  <c r="F13" i="28"/>
  <c r="F14" i="28"/>
  <c r="F16" i="28"/>
  <c r="F17" i="28"/>
  <c r="F18" i="28"/>
  <c r="F30" i="28"/>
  <c r="F31" i="28"/>
  <c r="F33" i="28"/>
  <c r="F34" i="28"/>
  <c r="F37" i="28"/>
  <c r="F38" i="28"/>
  <c r="F41" i="28"/>
  <c r="F51" i="28"/>
  <c r="F52" i="28"/>
  <c r="F55" i="28"/>
  <c r="F58" i="28"/>
  <c r="F59" i="28"/>
  <c r="F62" i="28"/>
  <c r="F65" i="28"/>
  <c r="F66" i="28"/>
  <c r="F68" i="28"/>
  <c r="F69" i="28"/>
  <c r="F72" i="28"/>
  <c r="F73" i="28"/>
  <c r="F76" i="28"/>
  <c r="F86" i="28"/>
  <c r="F87" i="28"/>
  <c r="F90" i="28"/>
  <c r="F93" i="28"/>
  <c r="F94" i="28"/>
  <c r="F97" i="28"/>
  <c r="F100" i="28"/>
  <c r="F101" i="28"/>
  <c r="F102" i="28"/>
  <c r="F104" i="28"/>
  <c r="F107" i="28"/>
  <c r="F108" i="28"/>
  <c r="F110" i="28"/>
  <c r="F113" i="28"/>
  <c r="F114" i="28"/>
  <c r="F117" i="28"/>
  <c r="F120" i="28"/>
  <c r="F122" i="28"/>
  <c r="F124" i="28"/>
  <c r="F127" i="28"/>
  <c r="F129" i="28"/>
  <c r="F130" i="28"/>
  <c r="B128" i="28"/>
  <c r="B126" i="28"/>
  <c r="F126" i="28" s="1"/>
  <c r="B125" i="28"/>
  <c r="F125" i="28" s="1"/>
  <c r="B123" i="28"/>
  <c r="B121" i="28"/>
  <c r="B119" i="28" s="1"/>
  <c r="B118" i="28" s="1"/>
  <c r="B116" i="28"/>
  <c r="F116" i="28" s="1"/>
  <c r="B115" i="28"/>
  <c r="B112" i="28" s="1"/>
  <c r="B109" i="28"/>
  <c r="B106" i="28" s="1"/>
  <c r="B105" i="28" s="1"/>
  <c r="B103" i="28"/>
  <c r="B99" i="28"/>
  <c r="B96" i="28"/>
  <c r="B95" i="28"/>
  <c r="B92" i="28" s="1"/>
  <c r="B91" i="28" s="1"/>
  <c r="B89" i="28"/>
  <c r="F89" i="28" s="1"/>
  <c r="B88" i="28"/>
  <c r="B85" i="28" s="1"/>
  <c r="B83" i="28"/>
  <c r="B80" i="28"/>
  <c r="B79" i="28"/>
  <c r="B75" i="28"/>
  <c r="B74" i="28"/>
  <c r="B71" i="28" s="1"/>
  <c r="B67" i="28"/>
  <c r="B64" i="28" s="1"/>
  <c r="B61" i="28"/>
  <c r="B60" i="28"/>
  <c r="B57" i="28" s="1"/>
  <c r="B54" i="28"/>
  <c r="F54" i="28" s="1"/>
  <c r="B50" i="28"/>
  <c r="B48" i="28"/>
  <c r="B45" i="28"/>
  <c r="B44" i="28"/>
  <c r="B39" i="28"/>
  <c r="B36" i="28" s="1"/>
  <c r="B35" i="28" s="1"/>
  <c r="B32" i="28"/>
  <c r="B29" i="28" s="1"/>
  <c r="B28" i="28" s="1"/>
  <c r="B26" i="28"/>
  <c r="B25" i="28"/>
  <c r="C99" i="28"/>
  <c r="D99" i="28"/>
  <c r="C119" i="28"/>
  <c r="D119" i="28"/>
  <c r="B15" i="28"/>
  <c r="F103" i="28" l="1"/>
  <c r="G119" i="28"/>
  <c r="B56" i="28"/>
  <c r="B98" i="28"/>
  <c r="B22" i="28"/>
  <c r="B46" i="28"/>
  <c r="B27" i="28"/>
  <c r="B47" i="28"/>
  <c r="F25" i="28"/>
  <c r="B21" i="28"/>
  <c r="B84" i="28"/>
  <c r="F96" i="28"/>
  <c r="B70" i="28"/>
  <c r="F75" i="28"/>
  <c r="F119" i="28"/>
  <c r="F121" i="28"/>
  <c r="F26" i="28"/>
  <c r="B82" i="28"/>
  <c r="B81" i="28"/>
  <c r="B23" i="28" s="1"/>
  <c r="F99" i="28"/>
  <c r="F61" i="28"/>
  <c r="B49" i="28"/>
  <c r="B63" i="28"/>
  <c r="B43" i="28"/>
  <c r="B111" i="28"/>
  <c r="H112" i="28"/>
  <c r="B78" i="28"/>
  <c r="B77" i="28" s="1"/>
  <c r="E119" i="28"/>
  <c r="B24" i="28" l="1"/>
  <c r="B20" i="28"/>
  <c r="B42" i="28"/>
  <c r="B10" i="28"/>
  <c r="D59" i="27"/>
  <c r="D66" i="27"/>
  <c r="D80" i="27"/>
  <c r="D94" i="27"/>
  <c r="D101" i="27"/>
  <c r="D108" i="27"/>
  <c r="B19" i="28" l="1"/>
  <c r="B131" i="28" s="1"/>
  <c r="J130" i="28"/>
  <c r="I130" i="28"/>
  <c r="H130" i="28"/>
  <c r="G130" i="28"/>
  <c r="E130" i="28"/>
  <c r="J129" i="28"/>
  <c r="I129" i="28"/>
  <c r="H129" i="28"/>
  <c r="G129" i="28"/>
  <c r="E129" i="28"/>
  <c r="H128" i="28"/>
  <c r="D128" i="28"/>
  <c r="C128" i="28"/>
  <c r="F128" i="28" s="1"/>
  <c r="J127" i="28"/>
  <c r="I127" i="28"/>
  <c r="H127" i="28"/>
  <c r="G127" i="28"/>
  <c r="E127" i="28"/>
  <c r="J126" i="28"/>
  <c r="I126" i="28"/>
  <c r="H126" i="28"/>
  <c r="G126" i="28"/>
  <c r="E126" i="28"/>
  <c r="J125" i="28"/>
  <c r="I125" i="28"/>
  <c r="H125" i="28"/>
  <c r="G125" i="28"/>
  <c r="E125" i="28"/>
  <c r="J124" i="28"/>
  <c r="I124" i="28"/>
  <c r="G124" i="28"/>
  <c r="E124" i="28"/>
  <c r="H124" i="28"/>
  <c r="C123" i="28"/>
  <c r="H123" i="28"/>
  <c r="J122" i="28"/>
  <c r="I122" i="28"/>
  <c r="H122" i="28"/>
  <c r="G122" i="28"/>
  <c r="E122" i="28"/>
  <c r="J121" i="28"/>
  <c r="I121" i="28"/>
  <c r="G121" i="28"/>
  <c r="H121" i="28"/>
  <c r="J120" i="28"/>
  <c r="I120" i="28"/>
  <c r="I119" i="28" s="1"/>
  <c r="H120" i="28"/>
  <c r="G120" i="28"/>
  <c r="E120" i="28"/>
  <c r="J119" i="28"/>
  <c r="H118" i="28"/>
  <c r="J117" i="28"/>
  <c r="I117" i="28"/>
  <c r="H117" i="28"/>
  <c r="G117" i="28"/>
  <c r="E117" i="28"/>
  <c r="J116" i="28"/>
  <c r="I116" i="28"/>
  <c r="G116" i="28"/>
  <c r="E116" i="28"/>
  <c r="H116" i="28"/>
  <c r="D115" i="28"/>
  <c r="D112" i="28" s="1"/>
  <c r="C115" i="28"/>
  <c r="F115" i="28" s="1"/>
  <c r="H115" i="28"/>
  <c r="J114" i="28"/>
  <c r="I114" i="28"/>
  <c r="H114" i="28"/>
  <c r="G114" i="28"/>
  <c r="E114" i="28"/>
  <c r="J113" i="28"/>
  <c r="I113" i="28"/>
  <c r="H113" i="28"/>
  <c r="G113" i="28"/>
  <c r="E113" i="28"/>
  <c r="J110" i="28"/>
  <c r="I110" i="28"/>
  <c r="H110" i="28"/>
  <c r="G110" i="28"/>
  <c r="E110" i="28"/>
  <c r="H109" i="28"/>
  <c r="D109" i="28"/>
  <c r="D106" i="28" s="1"/>
  <c r="C109" i="28"/>
  <c r="F109" i="28" s="1"/>
  <c r="J108" i="28"/>
  <c r="I108" i="28"/>
  <c r="H108" i="28"/>
  <c r="G108" i="28"/>
  <c r="E108" i="28"/>
  <c r="J107" i="28"/>
  <c r="I107" i="28"/>
  <c r="H107" i="28"/>
  <c r="G107" i="28"/>
  <c r="E107" i="28"/>
  <c r="H106" i="28"/>
  <c r="J104" i="28"/>
  <c r="I104" i="28"/>
  <c r="H104" i="28"/>
  <c r="G104" i="28"/>
  <c r="E104" i="28"/>
  <c r="J103" i="28"/>
  <c r="I103" i="28"/>
  <c r="H103" i="28"/>
  <c r="G103" i="28"/>
  <c r="E103" i="28"/>
  <c r="J102" i="28"/>
  <c r="I102" i="28"/>
  <c r="H102" i="28"/>
  <c r="G102" i="28"/>
  <c r="E102" i="28"/>
  <c r="J101" i="28"/>
  <c r="I101" i="28"/>
  <c r="H101" i="28"/>
  <c r="G101" i="28"/>
  <c r="E101" i="28"/>
  <c r="J100" i="28"/>
  <c r="I100" i="28"/>
  <c r="H100" i="28"/>
  <c r="G100" i="28"/>
  <c r="E100" i="28"/>
  <c r="I99" i="28"/>
  <c r="H98" i="28"/>
  <c r="J97" i="28"/>
  <c r="I97" i="28"/>
  <c r="H97" i="28"/>
  <c r="G97" i="28"/>
  <c r="E97" i="28"/>
  <c r="J96" i="28"/>
  <c r="I96" i="28"/>
  <c r="H96" i="28"/>
  <c r="G96" i="28"/>
  <c r="E96" i="28"/>
  <c r="H95" i="28"/>
  <c r="D95" i="28"/>
  <c r="D92" i="28" s="1"/>
  <c r="C95" i="28"/>
  <c r="F95" i="28" s="1"/>
  <c r="J94" i="28"/>
  <c r="I94" i="28"/>
  <c r="G94" i="28"/>
  <c r="E94" i="28"/>
  <c r="H94" i="28"/>
  <c r="J93" i="28"/>
  <c r="I93" i="28"/>
  <c r="H93" i="28"/>
  <c r="G93" i="28"/>
  <c r="E93" i="28"/>
  <c r="J90" i="28"/>
  <c r="I90" i="28"/>
  <c r="H90" i="28"/>
  <c r="G90" i="28"/>
  <c r="E90" i="28"/>
  <c r="J89" i="28"/>
  <c r="I89" i="28"/>
  <c r="H89" i="28"/>
  <c r="G89" i="28"/>
  <c r="E89" i="28"/>
  <c r="H82" i="28"/>
  <c r="D88" i="28"/>
  <c r="D85" i="28" s="1"/>
  <c r="C88" i="28"/>
  <c r="F88" i="28" s="1"/>
  <c r="H88" i="28"/>
  <c r="J87" i="28"/>
  <c r="I87" i="28"/>
  <c r="H87" i="28"/>
  <c r="G87" i="28"/>
  <c r="E87" i="28"/>
  <c r="J86" i="28"/>
  <c r="I86" i="28"/>
  <c r="H86" i="28"/>
  <c r="G86" i="28"/>
  <c r="E86" i="28"/>
  <c r="H85" i="28"/>
  <c r="H84" i="28"/>
  <c r="H83" i="28"/>
  <c r="D83" i="28"/>
  <c r="C83" i="28"/>
  <c r="F83" i="28" s="1"/>
  <c r="D82" i="28"/>
  <c r="C82" i="28"/>
  <c r="H81" i="28"/>
  <c r="D80" i="28"/>
  <c r="C80" i="28"/>
  <c r="H80" i="28"/>
  <c r="H79" i="28"/>
  <c r="D79" i="28"/>
  <c r="C79" i="28"/>
  <c r="J76" i="28"/>
  <c r="I76" i="28"/>
  <c r="H76" i="28"/>
  <c r="G76" i="28"/>
  <c r="E76" i="28"/>
  <c r="J75" i="28"/>
  <c r="I75" i="28"/>
  <c r="G75" i="28"/>
  <c r="D74" i="28"/>
  <c r="C74" i="28"/>
  <c r="H74" i="28"/>
  <c r="J73" i="28"/>
  <c r="I73" i="28"/>
  <c r="H73" i="28"/>
  <c r="G73" i="28"/>
  <c r="E73" i="28"/>
  <c r="J72" i="28"/>
  <c r="I72" i="28"/>
  <c r="H72" i="28"/>
  <c r="G72" i="28"/>
  <c r="E72" i="28"/>
  <c r="H71" i="28"/>
  <c r="J69" i="28"/>
  <c r="I69" i="28"/>
  <c r="H69" i="28"/>
  <c r="G69" i="28"/>
  <c r="E69" i="28"/>
  <c r="J68" i="28"/>
  <c r="I68" i="28"/>
  <c r="H68" i="28"/>
  <c r="G68" i="28"/>
  <c r="H67" i="28"/>
  <c r="D64" i="28"/>
  <c r="C67" i="28"/>
  <c r="F67" i="28" s="1"/>
  <c r="J66" i="28"/>
  <c r="I66" i="28"/>
  <c r="G66" i="28"/>
  <c r="E66" i="28"/>
  <c r="J65" i="28"/>
  <c r="I65" i="28"/>
  <c r="H65" i="28"/>
  <c r="G65" i="28"/>
  <c r="E65" i="28"/>
  <c r="J62" i="28"/>
  <c r="I62" i="28"/>
  <c r="H62" i="28"/>
  <c r="G62" i="28"/>
  <c r="E62" i="28"/>
  <c r="J61" i="28"/>
  <c r="I61" i="28"/>
  <c r="H61" i="28"/>
  <c r="G61" i="28"/>
  <c r="D60" i="28"/>
  <c r="D57" i="28" s="1"/>
  <c r="C60" i="28"/>
  <c r="F60" i="28" s="1"/>
  <c r="J59" i="28"/>
  <c r="I59" i="28"/>
  <c r="H59" i="28"/>
  <c r="G59" i="28"/>
  <c r="E59" i="28"/>
  <c r="J58" i="28"/>
  <c r="I58" i="28"/>
  <c r="H58" i="28"/>
  <c r="G58" i="28"/>
  <c r="E58" i="28"/>
  <c r="J55" i="28"/>
  <c r="I55" i="28"/>
  <c r="H55" i="28"/>
  <c r="G55" i="28"/>
  <c r="E55" i="28"/>
  <c r="J54" i="28"/>
  <c r="I54" i="28"/>
  <c r="G54" i="28"/>
  <c r="E54" i="28"/>
  <c r="H54" i="28"/>
  <c r="H53" i="28"/>
  <c r="D53" i="28"/>
  <c r="D50" i="28" s="1"/>
  <c r="C53" i="28"/>
  <c r="J52" i="28"/>
  <c r="I52" i="28"/>
  <c r="G52" i="28"/>
  <c r="E52" i="28"/>
  <c r="J51" i="28"/>
  <c r="I51" i="28"/>
  <c r="G51" i="28"/>
  <c r="E51" i="28"/>
  <c r="H51" i="28"/>
  <c r="D48" i="28"/>
  <c r="C48" i="28"/>
  <c r="H48" i="28"/>
  <c r="D47" i="28"/>
  <c r="C47" i="28"/>
  <c r="D45" i="28"/>
  <c r="C45" i="28"/>
  <c r="H44" i="28"/>
  <c r="D44" i="28"/>
  <c r="J44" i="28" s="1"/>
  <c r="C44" i="28"/>
  <c r="F44" i="28" s="1"/>
  <c r="J41" i="28"/>
  <c r="I41" i="28"/>
  <c r="H41" i="28"/>
  <c r="G41" i="28"/>
  <c r="E41" i="28"/>
  <c r="J40" i="28"/>
  <c r="I40" i="28"/>
  <c r="H40" i="28"/>
  <c r="G40" i="28"/>
  <c r="D39" i="28"/>
  <c r="D36" i="28" s="1"/>
  <c r="C39" i="28"/>
  <c r="F39" i="28" s="1"/>
  <c r="H39" i="28"/>
  <c r="J38" i="28"/>
  <c r="I38" i="28"/>
  <c r="G38" i="28"/>
  <c r="E38" i="28"/>
  <c r="H38" i="28"/>
  <c r="J37" i="28"/>
  <c r="I37" i="28"/>
  <c r="H37" i="28"/>
  <c r="G37" i="28"/>
  <c r="E37" i="28"/>
  <c r="J34" i="28"/>
  <c r="I34" i="28"/>
  <c r="H34" i="28"/>
  <c r="G34" i="28"/>
  <c r="E34" i="28"/>
  <c r="J33" i="28"/>
  <c r="I33" i="28"/>
  <c r="H33" i="28"/>
  <c r="G33" i="28"/>
  <c r="E33" i="28"/>
  <c r="H32" i="28"/>
  <c r="D32" i="28"/>
  <c r="C32" i="28"/>
  <c r="F32" i="28" s="1"/>
  <c r="J31" i="28"/>
  <c r="I31" i="28"/>
  <c r="H31" i="28"/>
  <c r="G31" i="28"/>
  <c r="E31" i="28"/>
  <c r="J30" i="28"/>
  <c r="I30" i="28"/>
  <c r="H30" i="28"/>
  <c r="G30" i="28"/>
  <c r="E30" i="28"/>
  <c r="H27" i="28"/>
  <c r="J26" i="28"/>
  <c r="I26" i="28"/>
  <c r="H26" i="28"/>
  <c r="G26" i="28"/>
  <c r="E26" i="28"/>
  <c r="J25" i="28"/>
  <c r="I25" i="28"/>
  <c r="H25" i="28"/>
  <c r="G25" i="28"/>
  <c r="E25" i="28"/>
  <c r="H21" i="28"/>
  <c r="J18" i="28"/>
  <c r="I18" i="28"/>
  <c r="H18" i="28"/>
  <c r="G18" i="28"/>
  <c r="E18" i="28"/>
  <c r="J17" i="28"/>
  <c r="I17" i="28"/>
  <c r="H17" i="28"/>
  <c r="G17" i="28"/>
  <c r="E17" i="28"/>
  <c r="J16" i="28"/>
  <c r="I16" i="28"/>
  <c r="H16" i="28"/>
  <c r="G16" i="28"/>
  <c r="E16" i="28"/>
  <c r="D15" i="28"/>
  <c r="J15" i="28" s="1"/>
  <c r="C15" i="28"/>
  <c r="H15" i="28"/>
  <c r="J14" i="28"/>
  <c r="I14" i="28"/>
  <c r="H14" i="28"/>
  <c r="G14" i="28"/>
  <c r="E14" i="28"/>
  <c r="J13" i="28"/>
  <c r="I13" i="28"/>
  <c r="H13" i="28"/>
  <c r="G13" i="28"/>
  <c r="E13" i="28"/>
  <c r="J12" i="28"/>
  <c r="I12" i="28"/>
  <c r="H12" i="28"/>
  <c r="G12" i="28"/>
  <c r="E12" i="28"/>
  <c r="D5" i="28"/>
  <c r="C5" i="28"/>
  <c r="J4" i="28"/>
  <c r="E4" i="28"/>
  <c r="I45" i="28" l="1"/>
  <c r="F45" i="28"/>
  <c r="C50" i="28"/>
  <c r="F50" i="28" s="1"/>
  <c r="F53" i="28"/>
  <c r="I123" i="28"/>
  <c r="F123" i="28"/>
  <c r="I48" i="28"/>
  <c r="F48" i="28"/>
  <c r="I79" i="28"/>
  <c r="F79" i="28"/>
  <c r="I80" i="28"/>
  <c r="F80" i="28"/>
  <c r="C71" i="28"/>
  <c r="F71" i="28" s="1"/>
  <c r="F74" i="28"/>
  <c r="I15" i="28"/>
  <c r="F15" i="28"/>
  <c r="I82" i="28"/>
  <c r="F82" i="28"/>
  <c r="I47" i="28"/>
  <c r="F47" i="28"/>
  <c r="I60" i="28"/>
  <c r="C57" i="28"/>
  <c r="I67" i="28"/>
  <c r="C64" i="28"/>
  <c r="I115" i="28"/>
  <c r="C112" i="28"/>
  <c r="H119" i="28"/>
  <c r="I109" i="28"/>
  <c r="C106" i="28"/>
  <c r="F106" i="28" s="1"/>
  <c r="I95" i="28"/>
  <c r="C92" i="28"/>
  <c r="F92" i="28" s="1"/>
  <c r="D71" i="28"/>
  <c r="J71" i="28" s="1"/>
  <c r="I88" i="28"/>
  <c r="C85" i="28"/>
  <c r="F85" i="28" s="1"/>
  <c r="H36" i="28"/>
  <c r="G74" i="28"/>
  <c r="D22" i="28"/>
  <c r="J22" i="28" s="1"/>
  <c r="I39" i="28"/>
  <c r="I36" i="28" s="1"/>
  <c r="C36" i="28"/>
  <c r="G36" i="28" s="1"/>
  <c r="H29" i="28"/>
  <c r="I32" i="28"/>
  <c r="I29" i="28" s="1"/>
  <c r="C29" i="28"/>
  <c r="F29" i="28" s="1"/>
  <c r="D29" i="28"/>
  <c r="D21" i="28"/>
  <c r="J21" i="28" s="1"/>
  <c r="I71" i="28"/>
  <c r="C21" i="28"/>
  <c r="E60" i="28"/>
  <c r="E128" i="28"/>
  <c r="C46" i="28"/>
  <c r="E15" i="28"/>
  <c r="G39" i="28"/>
  <c r="E45" i="28"/>
  <c r="E47" i="28"/>
  <c r="E79" i="28"/>
  <c r="C81" i="28"/>
  <c r="D118" i="28"/>
  <c r="J118" i="28" s="1"/>
  <c r="G15" i="28"/>
  <c r="C22" i="28"/>
  <c r="G80" i="28"/>
  <c r="G47" i="28"/>
  <c r="J74" i="28"/>
  <c r="J123" i="28"/>
  <c r="G128" i="28"/>
  <c r="I74" i="28"/>
  <c r="J83" i="28"/>
  <c r="G88" i="28"/>
  <c r="J109" i="28"/>
  <c r="J112" i="28"/>
  <c r="C24" i="28"/>
  <c r="J48" i="28"/>
  <c r="E88" i="28"/>
  <c r="D24" i="28"/>
  <c r="D11" i="28" s="1"/>
  <c r="C27" i="28"/>
  <c r="E32" i="28"/>
  <c r="D35" i="28"/>
  <c r="J45" i="28"/>
  <c r="J47" i="28"/>
  <c r="J53" i="28"/>
  <c r="J60" i="28"/>
  <c r="E74" i="28"/>
  <c r="J99" i="28"/>
  <c r="G123" i="28"/>
  <c r="D49" i="28"/>
  <c r="J49" i="28" s="1"/>
  <c r="J67" i="28"/>
  <c r="J88" i="28"/>
  <c r="C98" i="28"/>
  <c r="J106" i="28"/>
  <c r="G115" i="28"/>
  <c r="J128" i="28"/>
  <c r="H28" i="28"/>
  <c r="I44" i="28"/>
  <c r="E44" i="28"/>
  <c r="G44" i="28"/>
  <c r="I53" i="28"/>
  <c r="E53" i="28"/>
  <c r="G53" i="28"/>
  <c r="D27" i="28"/>
  <c r="H52" i="28"/>
  <c r="H75" i="28"/>
  <c r="H66" i="28"/>
  <c r="G67" i="28"/>
  <c r="E67" i="28"/>
  <c r="D46" i="28"/>
  <c r="G48" i="28"/>
  <c r="E48" i="28"/>
  <c r="G32" i="28"/>
  <c r="J32" i="28"/>
  <c r="J39" i="28"/>
  <c r="E39" i="28"/>
  <c r="G45" i="28"/>
  <c r="J50" i="28"/>
  <c r="H60" i="28"/>
  <c r="G60" i="28"/>
  <c r="H70" i="28"/>
  <c r="G79" i="28"/>
  <c r="J79" i="28"/>
  <c r="J80" i="28"/>
  <c r="E80" i="28"/>
  <c r="G82" i="28"/>
  <c r="J82" i="28"/>
  <c r="E82" i="28"/>
  <c r="I83" i="28"/>
  <c r="G83" i="28"/>
  <c r="J36" i="28"/>
  <c r="G95" i="28"/>
  <c r="J95" i="28"/>
  <c r="E95" i="28"/>
  <c r="D81" i="28"/>
  <c r="J92" i="28"/>
  <c r="D91" i="28"/>
  <c r="G99" i="28"/>
  <c r="E109" i="28"/>
  <c r="C118" i="28"/>
  <c r="E123" i="28"/>
  <c r="D98" i="28"/>
  <c r="H99" i="28"/>
  <c r="H105" i="28"/>
  <c r="G109" i="28"/>
  <c r="D111" i="28"/>
  <c r="E115" i="28"/>
  <c r="J115" i="28"/>
  <c r="I128" i="28"/>
  <c r="E83" i="28"/>
  <c r="E99" i="28"/>
  <c r="D70" i="28" l="1"/>
  <c r="C56" i="28"/>
  <c r="F56" i="28" s="1"/>
  <c r="F57" i="28"/>
  <c r="I22" i="28"/>
  <c r="F22" i="28"/>
  <c r="E112" i="28"/>
  <c r="F112" i="28"/>
  <c r="I27" i="28"/>
  <c r="F27" i="28"/>
  <c r="I46" i="28"/>
  <c r="F46" i="28"/>
  <c r="I21" i="28"/>
  <c r="F21" i="28"/>
  <c r="C63" i="28"/>
  <c r="F64" i="28"/>
  <c r="I118" i="28"/>
  <c r="F118" i="28"/>
  <c r="I81" i="28"/>
  <c r="F81" i="28"/>
  <c r="C35" i="28"/>
  <c r="G35" i="28" s="1"/>
  <c r="F36" i="28"/>
  <c r="I98" i="28"/>
  <c r="F98" i="28"/>
  <c r="I56" i="28"/>
  <c r="I24" i="28"/>
  <c r="F24" i="28"/>
  <c r="D28" i="28"/>
  <c r="J28" i="28" s="1"/>
  <c r="G29" i="28"/>
  <c r="E29" i="28"/>
  <c r="G112" i="28"/>
  <c r="E36" i="28"/>
  <c r="I57" i="28"/>
  <c r="E71" i="28"/>
  <c r="C23" i="28"/>
  <c r="G71" i="28"/>
  <c r="I64" i="28"/>
  <c r="G85" i="28"/>
  <c r="J29" i="28"/>
  <c r="E50" i="28"/>
  <c r="C70" i="28"/>
  <c r="E21" i="28"/>
  <c r="E24" i="28"/>
  <c r="G21" i="28"/>
  <c r="G92" i="28"/>
  <c r="E92" i="28"/>
  <c r="E22" i="28"/>
  <c r="G22" i="28"/>
  <c r="C111" i="28"/>
  <c r="I112" i="28"/>
  <c r="G118" i="28"/>
  <c r="G24" i="28"/>
  <c r="C11" i="28"/>
  <c r="F11" i="28" s="1"/>
  <c r="J24" i="28"/>
  <c r="D105" i="28"/>
  <c r="D84" i="28"/>
  <c r="J85" i="28"/>
  <c r="E85" i="28"/>
  <c r="C84" i="28"/>
  <c r="I85" i="28"/>
  <c r="D78" i="28"/>
  <c r="C28" i="28"/>
  <c r="F28" i="28" s="1"/>
  <c r="E118" i="28"/>
  <c r="J35" i="28"/>
  <c r="C91" i="28"/>
  <c r="I92" i="28"/>
  <c r="H91" i="28"/>
  <c r="H92" i="28"/>
  <c r="H46" i="28"/>
  <c r="H23" i="28"/>
  <c r="C105" i="28"/>
  <c r="F105" i="28" s="1"/>
  <c r="I106" i="28"/>
  <c r="C78" i="28"/>
  <c r="F78" i="28" s="1"/>
  <c r="E106" i="28"/>
  <c r="G81" i="28"/>
  <c r="E81" i="28"/>
  <c r="J81" i="28"/>
  <c r="D10" i="28"/>
  <c r="J11" i="28"/>
  <c r="I50" i="28"/>
  <c r="C43" i="28"/>
  <c r="F43" i="28" s="1"/>
  <c r="C49" i="28"/>
  <c r="F49" i="28" s="1"/>
  <c r="G50" i="28"/>
  <c r="J111" i="28"/>
  <c r="G57" i="28"/>
  <c r="D43" i="28"/>
  <c r="J57" i="28"/>
  <c r="E57" i="28"/>
  <c r="D56" i="28"/>
  <c r="J46" i="28"/>
  <c r="E46" i="28"/>
  <c r="G46" i="28"/>
  <c r="D23" i="28"/>
  <c r="H63" i="28"/>
  <c r="H64" i="28"/>
  <c r="H45" i="28"/>
  <c r="H22" i="28"/>
  <c r="J27" i="28"/>
  <c r="E27" i="28"/>
  <c r="G27" i="28"/>
  <c r="J91" i="28"/>
  <c r="H35" i="28"/>
  <c r="J70" i="28"/>
  <c r="G106" i="28"/>
  <c r="G98" i="28"/>
  <c r="J98" i="28"/>
  <c r="E98" i="28"/>
  <c r="H111" i="28"/>
  <c r="H57" i="28"/>
  <c r="H56" i="28"/>
  <c r="G64" i="28"/>
  <c r="J64" i="28"/>
  <c r="E64" i="28"/>
  <c r="D63" i="28"/>
  <c r="H47" i="28"/>
  <c r="H50" i="28"/>
  <c r="H43" i="28"/>
  <c r="E35" i="28" l="1"/>
  <c r="I23" i="28"/>
  <c r="F23" i="28"/>
  <c r="F35" i="28"/>
  <c r="I35" i="28"/>
  <c r="I63" i="28"/>
  <c r="F63" i="28"/>
  <c r="I111" i="28"/>
  <c r="F111" i="28"/>
  <c r="I91" i="28"/>
  <c r="F91" i="28"/>
  <c r="E91" i="28"/>
  <c r="I84" i="28"/>
  <c r="F84" i="28"/>
  <c r="I70" i="28"/>
  <c r="F70" i="28"/>
  <c r="E43" i="28"/>
  <c r="E78" i="28"/>
  <c r="E70" i="28"/>
  <c r="G70" i="28"/>
  <c r="G91" i="28"/>
  <c r="C20" i="28"/>
  <c r="F20" i="28" s="1"/>
  <c r="E11" i="28"/>
  <c r="E111" i="28"/>
  <c r="G111" i="28"/>
  <c r="J78" i="28"/>
  <c r="D77" i="28"/>
  <c r="J105" i="28"/>
  <c r="I11" i="28"/>
  <c r="I28" i="28"/>
  <c r="G28" i="28"/>
  <c r="E28" i="28"/>
  <c r="C10" i="28"/>
  <c r="F10" i="28" s="1"/>
  <c r="G11" i="28"/>
  <c r="G84" i="28"/>
  <c r="J84" i="28"/>
  <c r="E84" i="28"/>
  <c r="I49" i="28"/>
  <c r="C42" i="28"/>
  <c r="E49" i="28"/>
  <c r="G49" i="28"/>
  <c r="H78" i="28"/>
  <c r="H77" i="28"/>
  <c r="H24" i="28"/>
  <c r="I43" i="28"/>
  <c r="I105" i="28"/>
  <c r="G105" i="28"/>
  <c r="E105" i="28"/>
  <c r="H42" i="28"/>
  <c r="H49" i="28"/>
  <c r="J43" i="28"/>
  <c r="G43" i="28"/>
  <c r="D20" i="28"/>
  <c r="J10" i="28"/>
  <c r="G63" i="28"/>
  <c r="J63" i="28"/>
  <c r="E63" i="28"/>
  <c r="J23" i="28"/>
  <c r="E23" i="28"/>
  <c r="G23" i="28"/>
  <c r="G56" i="28"/>
  <c r="E56" i="28"/>
  <c r="D42" i="28"/>
  <c r="J56" i="28"/>
  <c r="I78" i="28"/>
  <c r="C77" i="28"/>
  <c r="F77" i="28" s="1"/>
  <c r="G78" i="28"/>
  <c r="I42" i="28" l="1"/>
  <c r="F42" i="28"/>
  <c r="I10" i="28"/>
  <c r="G10" i="28"/>
  <c r="E10" i="28"/>
  <c r="J77" i="28"/>
  <c r="I77" i="28"/>
  <c r="G77" i="28"/>
  <c r="E77" i="28"/>
  <c r="H20" i="28"/>
  <c r="H19" i="28"/>
  <c r="J20" i="28"/>
  <c r="E20" i="28"/>
  <c r="D19" i="28"/>
  <c r="G20" i="28"/>
  <c r="H11" i="28"/>
  <c r="G42" i="28"/>
  <c r="J42" i="28"/>
  <c r="E42" i="28"/>
  <c r="C19" i="28"/>
  <c r="F19" i="28" s="1"/>
  <c r="I20" i="28"/>
  <c r="G19" i="28" l="1"/>
  <c r="J19" i="28"/>
  <c r="E19" i="28"/>
  <c r="D131" i="28"/>
  <c r="I19" i="28"/>
  <c r="C131" i="28"/>
  <c r="H131" i="28"/>
  <c r="H10" i="28"/>
  <c r="I131" i="28" l="1"/>
  <c r="F131" i="28"/>
  <c r="J131" i="28"/>
  <c r="E131" i="28"/>
  <c r="G131" i="28"/>
  <c r="D100" i="27" l="1"/>
  <c r="D131" i="27"/>
  <c r="D62" i="27" l="1"/>
  <c r="D55" i="27"/>
  <c r="D41" i="27"/>
  <c r="H15" i="27" l="1"/>
  <c r="D128" i="27" l="1"/>
  <c r="E129" i="27" l="1"/>
  <c r="D19" i="27" l="1"/>
  <c r="C19" i="27"/>
  <c r="B62" i="27" l="1"/>
  <c r="B90" i="27" l="1"/>
  <c r="B97" i="27"/>
  <c r="D104" i="27"/>
  <c r="B104" i="27"/>
  <c r="C124" i="27"/>
  <c r="D124" i="27"/>
  <c r="B124" i="27"/>
  <c r="B111" i="27"/>
  <c r="C133" i="27" l="1"/>
  <c r="D117" i="27" l="1"/>
  <c r="C117" i="27"/>
  <c r="D90" i="27"/>
  <c r="C90" i="27"/>
  <c r="D111" i="27" l="1"/>
  <c r="C111" i="27"/>
  <c r="C110" i="27" s="1"/>
  <c r="C104" i="27"/>
  <c r="D97" i="27"/>
  <c r="C100" i="27"/>
  <c r="C97" i="27" s="1"/>
  <c r="D76" i="27"/>
  <c r="C79" i="27"/>
  <c r="C76" i="27" s="1"/>
  <c r="C69" i="27"/>
  <c r="D69" i="27"/>
  <c r="C65" i="27"/>
  <c r="C62" i="27" s="1"/>
  <c r="C55" i="27"/>
  <c r="D34" i="27" l="1"/>
  <c r="C34" i="27"/>
  <c r="C41" i="27" l="1"/>
  <c r="C103" i="27" l="1"/>
  <c r="D103" i="27"/>
  <c r="D31" i="27" l="1"/>
  <c r="D30" i="27" l="1"/>
  <c r="E30" i="27" s="1"/>
  <c r="C31" i="27"/>
  <c r="C22" i="27" s="1"/>
  <c r="C30" i="27"/>
  <c r="C21" i="27" s="1"/>
  <c r="D22" i="27"/>
  <c r="D21" i="27"/>
  <c r="E73" i="27"/>
  <c r="F73" i="27"/>
  <c r="G73" i="27"/>
  <c r="H73" i="27"/>
  <c r="H14" i="27"/>
  <c r="F135" i="27"/>
  <c r="E135" i="27"/>
  <c r="E134" i="27"/>
  <c r="E132" i="27"/>
  <c r="E131" i="27"/>
  <c r="E130" i="27"/>
  <c r="E127" i="27"/>
  <c r="E126" i="27"/>
  <c r="E125" i="27"/>
  <c r="E109" i="27"/>
  <c r="E31" i="27"/>
  <c r="E43" i="27"/>
  <c r="C7" i="27"/>
  <c r="B15" i="27"/>
  <c r="B14" i="27"/>
  <c r="B22" i="27"/>
  <c r="B21" i="27"/>
  <c r="B38" i="27"/>
  <c r="B37" i="27"/>
  <c r="B34" i="27" s="1"/>
  <c r="B46" i="27"/>
  <c r="B45" i="27"/>
  <c r="E45" i="27" s="1"/>
  <c r="B44" i="27"/>
  <c r="B41" i="27" s="1"/>
  <c r="E41" i="27" s="1"/>
  <c r="B133" i="27"/>
  <c r="E133" i="27" s="1"/>
  <c r="B108" i="27"/>
  <c r="B101" i="27"/>
  <c r="B94" i="27"/>
  <c r="B79" i="27"/>
  <c r="B76" i="27" s="1"/>
  <c r="B72" i="27"/>
  <c r="B59" i="27"/>
  <c r="E59" i="27" s="1"/>
  <c r="B58" i="27"/>
  <c r="B66" i="27"/>
  <c r="B55" i="27" l="1"/>
  <c r="E58" i="27"/>
  <c r="B117" i="27"/>
  <c r="B116" i="27" s="1"/>
  <c r="E120" i="27"/>
  <c r="B69" i="27"/>
  <c r="B68" i="27" s="1"/>
  <c r="C20" i="27"/>
  <c r="B86" i="27"/>
  <c r="E107" i="27" l="1"/>
  <c r="E106" i="27"/>
  <c r="E105" i="27"/>
  <c r="E108" i="27"/>
  <c r="E122" i="27"/>
  <c r="E118" i="27"/>
  <c r="E115" i="27"/>
  <c r="E114" i="27"/>
  <c r="E113" i="27"/>
  <c r="E112" i="27"/>
  <c r="E102" i="27"/>
  <c r="E101" i="27"/>
  <c r="E100" i="27"/>
  <c r="E99" i="27"/>
  <c r="E98" i="27"/>
  <c r="E95" i="27"/>
  <c r="E93" i="27"/>
  <c r="E91" i="27"/>
  <c r="E81" i="27"/>
  <c r="E80" i="27"/>
  <c r="E79" i="27"/>
  <c r="E78" i="27"/>
  <c r="E77" i="27"/>
  <c r="E74" i="27"/>
  <c r="E72" i="27"/>
  <c r="E70" i="27"/>
  <c r="E67" i="27"/>
  <c r="E66" i="27"/>
  <c r="E65" i="27"/>
  <c r="E64" i="27"/>
  <c r="E63" i="27"/>
  <c r="E60" i="27"/>
  <c r="E57" i="27"/>
  <c r="E56" i="27"/>
  <c r="E46" i="27"/>
  <c r="E44" i="27"/>
  <c r="E42" i="27"/>
  <c r="B16" i="27"/>
  <c r="E38" i="27"/>
  <c r="E37" i="27"/>
  <c r="E36" i="27"/>
  <c r="E35" i="27"/>
  <c r="E39" i="27"/>
  <c r="C13" i="27" l="1"/>
  <c r="C16" i="27" l="1"/>
  <c r="C128" i="27"/>
  <c r="C123" i="27"/>
  <c r="C96" i="27"/>
  <c r="C88" i="27"/>
  <c r="C61" i="27"/>
  <c r="C53" i="27"/>
  <c r="C52" i="27"/>
  <c r="C49" i="27"/>
  <c r="F15" i="27"/>
  <c r="F18" i="27"/>
  <c r="F19" i="27"/>
  <c r="F30" i="27"/>
  <c r="F31" i="27"/>
  <c r="F42" i="27"/>
  <c r="F46" i="27"/>
  <c r="F63" i="27"/>
  <c r="F64" i="27"/>
  <c r="F70" i="27"/>
  <c r="F74" i="27"/>
  <c r="F77" i="27"/>
  <c r="F81" i="27"/>
  <c r="F91" i="27"/>
  <c r="F95" i="27"/>
  <c r="F98" i="27"/>
  <c r="F102" i="27"/>
  <c r="F105" i="27"/>
  <c r="F106" i="27"/>
  <c r="F109" i="27"/>
  <c r="F112" i="27"/>
  <c r="F113" i="27"/>
  <c r="F115" i="27"/>
  <c r="F118" i="27"/>
  <c r="F122" i="27"/>
  <c r="F127" i="27"/>
  <c r="H135" i="27"/>
  <c r="G135" i="27"/>
  <c r="G134" i="27"/>
  <c r="F134" i="27"/>
  <c r="G133" i="27"/>
  <c r="G132" i="27"/>
  <c r="F132" i="27"/>
  <c r="G131" i="27"/>
  <c r="H131" i="27"/>
  <c r="H130" i="27"/>
  <c r="G130" i="27"/>
  <c r="G129" i="27"/>
  <c r="H129" i="27"/>
  <c r="B128" i="27"/>
  <c r="H127" i="27"/>
  <c r="G127" i="27"/>
  <c r="G126" i="27"/>
  <c r="F126" i="27"/>
  <c r="G125" i="27"/>
  <c r="F125" i="27"/>
  <c r="G124" i="27"/>
  <c r="H122" i="27"/>
  <c r="G122" i="27"/>
  <c r="G121" i="27"/>
  <c r="G120" i="27"/>
  <c r="G119" i="27"/>
  <c r="H118" i="27"/>
  <c r="G118" i="27"/>
  <c r="H115" i="27"/>
  <c r="G115" i="27"/>
  <c r="G114" i="27"/>
  <c r="H114" i="27"/>
  <c r="H113" i="27"/>
  <c r="G113" i="27"/>
  <c r="H112" i="27"/>
  <c r="G112" i="27"/>
  <c r="G111" i="27"/>
  <c r="H109" i="27"/>
  <c r="G109" i="27"/>
  <c r="G108" i="27"/>
  <c r="G107" i="27"/>
  <c r="H106" i="27"/>
  <c r="G106" i="27"/>
  <c r="H105" i="27"/>
  <c r="G105" i="27"/>
  <c r="H102" i="27"/>
  <c r="G102" i="27"/>
  <c r="G101" i="27"/>
  <c r="H101" i="27"/>
  <c r="G100" i="27"/>
  <c r="H100" i="27"/>
  <c r="G99" i="27"/>
  <c r="H99" i="27"/>
  <c r="H98" i="27"/>
  <c r="G98" i="27"/>
  <c r="G97" i="27"/>
  <c r="H95" i="27"/>
  <c r="G95" i="27"/>
  <c r="G94" i="27"/>
  <c r="G93" i="27"/>
  <c r="H93" i="27"/>
  <c r="G92" i="27"/>
  <c r="H91" i="27"/>
  <c r="G91" i="27"/>
  <c r="G90" i="27"/>
  <c r="D88" i="27"/>
  <c r="B88" i="27"/>
  <c r="G88" i="27" s="1"/>
  <c r="B87" i="27"/>
  <c r="G87" i="27" s="1"/>
  <c r="G86" i="27"/>
  <c r="B85" i="27"/>
  <c r="G85" i="27" s="1"/>
  <c r="B84" i="27"/>
  <c r="G84" i="27" s="1"/>
  <c r="H81" i="27"/>
  <c r="G81" i="27"/>
  <c r="G80" i="27"/>
  <c r="G79" i="27"/>
  <c r="G78" i="27"/>
  <c r="F78" i="27"/>
  <c r="H77" i="27"/>
  <c r="G77" i="27"/>
  <c r="G76" i="27"/>
  <c r="H74" i="27"/>
  <c r="G74" i="27"/>
  <c r="G72" i="27"/>
  <c r="H72" i="27"/>
  <c r="G71" i="27"/>
  <c r="H70" i="27"/>
  <c r="G70" i="27"/>
  <c r="G69" i="27"/>
  <c r="G67" i="27"/>
  <c r="H67" i="27"/>
  <c r="G66" i="27"/>
  <c r="F66" i="27"/>
  <c r="G65" i="27"/>
  <c r="H64" i="27"/>
  <c r="G64" i="27"/>
  <c r="H63" i="27"/>
  <c r="G63" i="27"/>
  <c r="B61" i="27"/>
  <c r="G60" i="27"/>
  <c r="H60" i="27"/>
  <c r="G59" i="27"/>
  <c r="H59" i="27"/>
  <c r="G58" i="27"/>
  <c r="H58" i="27"/>
  <c r="G57" i="27"/>
  <c r="G56" i="27"/>
  <c r="F56" i="27"/>
  <c r="G55" i="27"/>
  <c r="B53" i="27"/>
  <c r="B52" i="27"/>
  <c r="G52" i="27" s="1"/>
  <c r="B51" i="27"/>
  <c r="G51" i="27" s="1"/>
  <c r="B50" i="27"/>
  <c r="G50" i="27" s="1"/>
  <c r="B49" i="27"/>
  <c r="H46" i="27"/>
  <c r="G46" i="27"/>
  <c r="G45" i="27"/>
  <c r="F45" i="27"/>
  <c r="G44" i="27"/>
  <c r="H44" i="27"/>
  <c r="G43" i="27"/>
  <c r="F43" i="27"/>
  <c r="H42" i="27"/>
  <c r="G42" i="27"/>
  <c r="G39" i="27"/>
  <c r="G38" i="27"/>
  <c r="H38" i="27"/>
  <c r="G37" i="27"/>
  <c r="F37" i="27"/>
  <c r="G36" i="27"/>
  <c r="H36" i="27"/>
  <c r="G35" i="27"/>
  <c r="H31" i="27"/>
  <c r="G31" i="27"/>
  <c r="H30" i="27"/>
  <c r="G30" i="27"/>
  <c r="G23" i="27"/>
  <c r="H22" i="27"/>
  <c r="G22" i="27"/>
  <c r="H21" i="27"/>
  <c r="H19" i="27"/>
  <c r="G19" i="27"/>
  <c r="E19" i="27"/>
  <c r="H18" i="27"/>
  <c r="G18" i="27"/>
  <c r="E18" i="27"/>
  <c r="G17" i="27"/>
  <c r="H17" i="27"/>
  <c r="G15" i="27"/>
  <c r="E15" i="27"/>
  <c r="G14" i="27"/>
  <c r="B13" i="27"/>
  <c r="G13" i="27" s="1"/>
  <c r="E88" i="27" l="1"/>
  <c r="G128" i="27"/>
  <c r="E128" i="27"/>
  <c r="H62" i="27"/>
  <c r="E62" i="27"/>
  <c r="G41" i="27"/>
  <c r="B33" i="27"/>
  <c r="G33" i="27" s="1"/>
  <c r="B26" i="27"/>
  <c r="G26" i="27" s="1"/>
  <c r="F35" i="27"/>
  <c r="B29" i="27"/>
  <c r="G29" i="27" s="1"/>
  <c r="F93" i="27"/>
  <c r="C84" i="27"/>
  <c r="C26" i="27" s="1"/>
  <c r="F72" i="27"/>
  <c r="F129" i="27"/>
  <c r="F79" i="27"/>
  <c r="B27" i="27"/>
  <c r="G27" i="27" s="1"/>
  <c r="F108" i="27"/>
  <c r="F65" i="27"/>
  <c r="F60" i="27"/>
  <c r="C68" i="27"/>
  <c r="F100" i="27"/>
  <c r="F14" i="27"/>
  <c r="C75" i="27"/>
  <c r="F131" i="27"/>
  <c r="F114" i="27"/>
  <c r="F107" i="27"/>
  <c r="F57" i="27"/>
  <c r="F36" i="27"/>
  <c r="F101" i="27"/>
  <c r="F80" i="27"/>
  <c r="F67" i="27"/>
  <c r="F58" i="27"/>
  <c r="F44" i="27"/>
  <c r="F39" i="27"/>
  <c r="C50" i="27"/>
  <c r="C32" i="27"/>
  <c r="C23" i="27" s="1"/>
  <c r="C12" i="27" s="1"/>
  <c r="C144" i="27" s="1"/>
  <c r="F99" i="27"/>
  <c r="F59" i="27"/>
  <c r="F38" i="27"/>
  <c r="F17" i="27"/>
  <c r="C51" i="27"/>
  <c r="F88" i="27"/>
  <c r="F62" i="27"/>
  <c r="F21" i="27"/>
  <c r="C40" i="27"/>
  <c r="F22" i="27"/>
  <c r="D61" i="27"/>
  <c r="E61" i="27" s="1"/>
  <c r="H128" i="27"/>
  <c r="G49" i="27"/>
  <c r="B28" i="27"/>
  <c r="G28" i="27" s="1"/>
  <c r="B89" i="27"/>
  <c r="G89" i="27" s="1"/>
  <c r="D40" i="27"/>
  <c r="G34" i="27"/>
  <c r="B75" i="27"/>
  <c r="G75" i="27" s="1"/>
  <c r="B110" i="27"/>
  <c r="G110" i="27" s="1"/>
  <c r="H107" i="27"/>
  <c r="D20" i="27"/>
  <c r="H20" i="27" s="1"/>
  <c r="B32" i="27"/>
  <c r="G32" i="27" s="1"/>
  <c r="D51" i="27"/>
  <c r="E51" i="27" s="1"/>
  <c r="G53" i="27"/>
  <c r="D52" i="27"/>
  <c r="E52" i="27" s="1"/>
  <c r="E76" i="27"/>
  <c r="E111" i="27"/>
  <c r="B54" i="27"/>
  <c r="G54" i="27" s="1"/>
  <c r="H56" i="27"/>
  <c r="H57" i="27"/>
  <c r="H79" i="27"/>
  <c r="H80" i="27"/>
  <c r="G16" i="27"/>
  <c r="D49" i="27"/>
  <c r="G68" i="27"/>
  <c r="B96" i="27"/>
  <c r="G96" i="27" s="1"/>
  <c r="B123" i="27"/>
  <c r="G123" i="27" s="1"/>
  <c r="H39" i="27"/>
  <c r="H43" i="27"/>
  <c r="H37" i="27"/>
  <c r="H108" i="27"/>
  <c r="E21" i="27"/>
  <c r="G21" i="27"/>
  <c r="B40" i="27"/>
  <c r="D53" i="27"/>
  <c r="H66" i="27"/>
  <c r="D16" i="27"/>
  <c r="E17" i="27"/>
  <c r="B48" i="27"/>
  <c r="E14" i="27"/>
  <c r="H65" i="27"/>
  <c r="G116" i="27"/>
  <c r="G117" i="27"/>
  <c r="H45" i="27"/>
  <c r="E22" i="27"/>
  <c r="G61" i="27"/>
  <c r="G62" i="27"/>
  <c r="H35" i="27"/>
  <c r="H78" i="27"/>
  <c r="H126" i="27"/>
  <c r="H88" i="27"/>
  <c r="B103" i="27"/>
  <c r="G103" i="27" s="1"/>
  <c r="G104" i="27"/>
  <c r="B83" i="27"/>
  <c r="H132" i="27"/>
  <c r="F133" i="27"/>
  <c r="H134" i="27"/>
  <c r="H125" i="27"/>
  <c r="D84" i="27"/>
  <c r="E49" i="27" l="1"/>
  <c r="D26" i="27"/>
  <c r="F26" i="27" s="1"/>
  <c r="B25" i="27"/>
  <c r="G25" i="27" s="1"/>
  <c r="E40" i="27"/>
  <c r="F53" i="27"/>
  <c r="E53" i="27"/>
  <c r="F104" i="27"/>
  <c r="E104" i="27"/>
  <c r="F124" i="27"/>
  <c r="E124" i="27"/>
  <c r="D33" i="27"/>
  <c r="H33" i="27" s="1"/>
  <c r="E34" i="27"/>
  <c r="F84" i="27"/>
  <c r="E84" i="27"/>
  <c r="D96" i="27"/>
  <c r="E96" i="27" s="1"/>
  <c r="E97" i="27"/>
  <c r="H55" i="27"/>
  <c r="E55" i="27"/>
  <c r="C33" i="27"/>
  <c r="F52" i="27"/>
  <c r="F16" i="27"/>
  <c r="B20" i="27"/>
  <c r="G20" i="27" s="1"/>
  <c r="F40" i="27"/>
  <c r="D54" i="27"/>
  <c r="H41" i="27"/>
  <c r="H111" i="27"/>
  <c r="F111" i="27"/>
  <c r="H34" i="27"/>
  <c r="F34" i="27"/>
  <c r="F61" i="27"/>
  <c r="H61" i="27"/>
  <c r="F128" i="27"/>
  <c r="F41" i="27"/>
  <c r="F55" i="27"/>
  <c r="C54" i="27"/>
  <c r="C47" i="27" s="1"/>
  <c r="C48" i="27"/>
  <c r="H49" i="27"/>
  <c r="F49" i="27"/>
  <c r="H51" i="27"/>
  <c r="F51" i="27"/>
  <c r="H97" i="27"/>
  <c r="F97" i="27"/>
  <c r="D75" i="27"/>
  <c r="F76" i="27"/>
  <c r="E13" i="27"/>
  <c r="F13" i="27"/>
  <c r="H76" i="27"/>
  <c r="H104" i="27"/>
  <c r="H52" i="27"/>
  <c r="D110" i="27"/>
  <c r="H53" i="27"/>
  <c r="D32" i="27"/>
  <c r="D23" i="27" s="1"/>
  <c r="B47" i="27"/>
  <c r="G47" i="27" s="1"/>
  <c r="G40" i="27"/>
  <c r="H40" i="27"/>
  <c r="H13" i="27"/>
  <c r="H84" i="27"/>
  <c r="H133" i="27"/>
  <c r="G83" i="27"/>
  <c r="B82" i="27"/>
  <c r="G82" i="27" s="1"/>
  <c r="H124" i="27"/>
  <c r="D123" i="27"/>
  <c r="G48" i="27"/>
  <c r="E16" i="27"/>
  <c r="H16" i="27"/>
  <c r="D12" i="27" l="1"/>
  <c r="D144" i="27" s="1"/>
  <c r="F23" i="27"/>
  <c r="H23" i="27"/>
  <c r="E23" i="27"/>
  <c r="F96" i="27"/>
  <c r="F33" i="27"/>
  <c r="E33" i="27"/>
  <c r="F110" i="27"/>
  <c r="E110" i="27"/>
  <c r="F32" i="27"/>
  <c r="E32" i="27"/>
  <c r="F103" i="27"/>
  <c r="E103" i="27"/>
  <c r="F75" i="27"/>
  <c r="E75" i="27"/>
  <c r="F54" i="27"/>
  <c r="E54" i="27"/>
  <c r="F123" i="27"/>
  <c r="E123" i="27"/>
  <c r="H26" i="27"/>
  <c r="E26" i="27"/>
  <c r="H96" i="27"/>
  <c r="B24" i="27"/>
  <c r="B145" i="27" s="1"/>
  <c r="E20" i="27"/>
  <c r="H54" i="27"/>
  <c r="F20" i="27"/>
  <c r="B12" i="27"/>
  <c r="H110" i="27"/>
  <c r="H75" i="27"/>
  <c r="H103" i="27"/>
  <c r="H32" i="27"/>
  <c r="H123" i="27"/>
  <c r="F12" i="27" l="1"/>
  <c r="B144" i="27"/>
  <c r="B146" i="27" s="1"/>
  <c r="B147" i="27" s="1"/>
  <c r="E12" i="27"/>
  <c r="E144" i="27" s="1"/>
  <c r="H12" i="27"/>
  <c r="G24" i="27"/>
  <c r="G12" i="27"/>
  <c r="B136" i="27"/>
  <c r="B138" i="27" s="1"/>
  <c r="G136" i="27" l="1"/>
  <c r="C85" i="27" l="1"/>
  <c r="C27" i="27" s="1"/>
  <c r="C89" i="27"/>
  <c r="C86" i="27"/>
  <c r="C28" i="27" s="1"/>
  <c r="C87" i="27"/>
  <c r="C83" i="27" l="1"/>
  <c r="C25" i="27" s="1"/>
  <c r="C116" i="27"/>
  <c r="F120" i="27"/>
  <c r="D86" i="27"/>
  <c r="H120" i="27"/>
  <c r="C29" i="27"/>
  <c r="E86" i="27" l="1"/>
  <c r="D28" i="27"/>
  <c r="E28" i="27" s="1"/>
  <c r="C82" i="27"/>
  <c r="C24" i="27"/>
  <c r="F86" i="27"/>
  <c r="H86" i="27"/>
  <c r="C136" i="27" l="1"/>
  <c r="C138" i="27" s="1"/>
  <c r="C145" i="27"/>
  <c r="C146" i="27" s="1"/>
  <c r="C147" i="27" s="1"/>
  <c r="F28" i="27"/>
  <c r="H28" i="27"/>
  <c r="E71" i="27" l="1"/>
  <c r="F71" i="27" l="1"/>
  <c r="E69" i="27"/>
  <c r="D50" i="27"/>
  <c r="E50" i="27" s="1"/>
  <c r="H71" i="27"/>
  <c r="F50" i="27" l="1"/>
  <c r="H50" i="27"/>
  <c r="F69" i="27"/>
  <c r="H69" i="27"/>
  <c r="D68" i="27"/>
  <c r="E68" i="27" s="1"/>
  <c r="D48" i="27"/>
  <c r="E48" i="27" s="1"/>
  <c r="F48" i="27" l="1"/>
  <c r="H48" i="27"/>
  <c r="F68" i="27"/>
  <c r="H68" i="27"/>
  <c r="D47" i="27"/>
  <c r="E47" i="27" s="1"/>
  <c r="E92" i="27"/>
  <c r="E94" i="27"/>
  <c r="F47" i="27" l="1"/>
  <c r="H47" i="27"/>
  <c r="H92" i="27"/>
  <c r="F92" i="27"/>
  <c r="E90" i="27"/>
  <c r="H94" i="27"/>
  <c r="F94" i="27"/>
  <c r="D89" i="27" l="1"/>
  <c r="E89" i="27" s="1"/>
  <c r="H90" i="27"/>
  <c r="F90" i="27"/>
  <c r="E119" i="27"/>
  <c r="E121" i="27"/>
  <c r="H89" i="27" l="1"/>
  <c r="F89" i="27"/>
  <c r="H119" i="27"/>
  <c r="F119" i="27"/>
  <c r="D85" i="27"/>
  <c r="E85" i="27" s="1"/>
  <c r="H121" i="27"/>
  <c r="F121" i="27"/>
  <c r="D87" i="27"/>
  <c r="E87" i="27" s="1"/>
  <c r="D116" i="27" l="1"/>
  <c r="E116" i="27" s="1"/>
  <c r="E117" i="27"/>
  <c r="F117" i="27"/>
  <c r="H117" i="27"/>
  <c r="D83" i="27"/>
  <c r="D27" i="27"/>
  <c r="E27" i="27" s="1"/>
  <c r="H85" i="27"/>
  <c r="F85" i="27"/>
  <c r="H87" i="27"/>
  <c r="F87" i="27"/>
  <c r="D29" i="27"/>
  <c r="E29" i="27" s="1"/>
  <c r="F116" i="27" l="1"/>
  <c r="E83" i="27"/>
  <c r="D25" i="27"/>
  <c r="H116" i="27"/>
  <c r="H27" i="27"/>
  <c r="F27" i="27"/>
  <c r="F83" i="27"/>
  <c r="H83" i="27"/>
  <c r="D82" i="27"/>
  <c r="E82" i="27" s="1"/>
  <c r="H29" i="27"/>
  <c r="F29" i="27"/>
  <c r="H25" i="27" l="1"/>
  <c r="E25" i="27"/>
  <c r="F82" i="27"/>
  <c r="F25" i="27"/>
  <c r="H82" i="27"/>
  <c r="D24" i="27"/>
  <c r="D145" i="27" s="1"/>
  <c r="D146" i="27" s="1"/>
  <c r="D147" i="27" l="1"/>
  <c r="E146" i="27"/>
  <c r="D136" i="27"/>
  <c r="H136" i="27" s="1"/>
  <c r="F24" i="27"/>
  <c r="E24" i="27"/>
  <c r="E145" i="27" s="1"/>
  <c r="H24" i="27"/>
  <c r="D138" i="27" l="1"/>
  <c r="E138" i="27" s="1"/>
  <c r="D150" i="27"/>
  <c r="F136" i="27"/>
  <c r="E136" i="27"/>
  <c r="H37" i="35"/>
  <c r="E37" i="35"/>
  <c r="F37" i="35"/>
  <c r="H27" i="35"/>
  <c r="E34" i="35"/>
  <c r="F27" i="35" l="1"/>
  <c r="E27" i="35"/>
  <c r="H34" i="35"/>
  <c r="F34" i="35"/>
  <c r="H24" i="35" l="1"/>
  <c r="D23" i="35"/>
  <c r="D150" i="35" s="1"/>
  <c r="D152" i="35" s="1"/>
  <c r="F24" i="35"/>
  <c r="E23" i="35"/>
  <c r="E33" i="35"/>
  <c r="H33" i="35"/>
  <c r="F33" i="35"/>
  <c r="F150" i="35" l="1"/>
  <c r="H23" i="35"/>
  <c r="F23" i="35"/>
  <c r="H150" i="35" l="1"/>
  <c r="E150" i="35"/>
  <c r="D153" i="35"/>
</calcChain>
</file>

<file path=xl/sharedStrings.xml><?xml version="1.0" encoding="utf-8"?>
<sst xmlns="http://schemas.openxmlformats.org/spreadsheetml/2006/main" count="1536" uniqueCount="138">
  <si>
    <t xml:space="preserve">   Афзоиши ММД-и реалӣ</t>
  </si>
  <si>
    <t xml:space="preserve">   Таваррум</t>
  </si>
  <si>
    <t>4. Маориф</t>
  </si>
  <si>
    <t>6. Суғуртаи иҷтимоӣ ва ҳифзи иҷтимоӣ</t>
  </si>
  <si>
    <t>9. Комплекси сӯзишворию энергетикӣ</t>
  </si>
  <si>
    <t>10. Кишоварзӣ, моҳидорӣ ва шикор</t>
  </si>
  <si>
    <t>11. Саноат ва сохтмон</t>
  </si>
  <si>
    <t>13. Фаъолияти дигари иқтисодӣ ва хизматрасониҳо</t>
  </si>
  <si>
    <t>Пардохти фоизҳои қарзи асосӣ</t>
  </si>
  <si>
    <t xml:space="preserve">   Дефлятори ММД</t>
  </si>
  <si>
    <t>8. Фарҳанг ва варзиш</t>
  </si>
  <si>
    <t>7. Хоҷагии манзилию коммуналӣ, муҳити зист ва хоҷагии ҷангал</t>
  </si>
  <si>
    <t xml:space="preserve">1. Мақомоти ҳокимият ва идораи давлатӣ </t>
  </si>
  <si>
    <t>Соҳаҳои воқеии иқтисодиёт</t>
  </si>
  <si>
    <t>12. Нақлиёт ва коммуникатсия</t>
  </si>
  <si>
    <t xml:space="preserve">   Афзоиши ММД-и номиналӣ</t>
  </si>
  <si>
    <t>x</t>
  </si>
  <si>
    <t xml:space="preserve">  Ҳаҷми умумии даромади буҷети давлатӣ</t>
  </si>
  <si>
    <t xml:space="preserve">  Маҷмӯи маҳсулоти дохилӣ</t>
  </si>
  <si>
    <t xml:space="preserve">  Қурби асъори миллӣ нисбат ба 1 доллари ИМА </t>
  </si>
  <si>
    <t xml:space="preserve">   Барномаи сармоягузории давлатӣ, аз ҷумла:</t>
  </si>
  <si>
    <t xml:space="preserve">     - маблағҳои грантӣ </t>
  </si>
  <si>
    <t xml:space="preserve">      - маблағҳои қарзӣ</t>
  </si>
  <si>
    <t xml:space="preserve">   Маблағҳои махсуси ташкилотҳои буҷетӣ</t>
  </si>
  <si>
    <t xml:space="preserve">   Даромади ҷории буҷети давлатӣ, аз он:</t>
  </si>
  <si>
    <t xml:space="preserve">    - грант барои дастгирии буҷет</t>
  </si>
  <si>
    <t>Нишондиҳандаҳо</t>
  </si>
  <si>
    <t>Маблағҳои буҷетӣ, аз он барои:</t>
  </si>
  <si>
    <t xml:space="preserve">Барномаи сармоягузории давлатӣ </t>
  </si>
  <si>
    <t>Маблағҳои махсуси ташкилотҳои буҷетӣ</t>
  </si>
  <si>
    <t>2,3. Мудофиа, мақомоти ҳифзи ҳуқуқ ва тартиботи ҳуқуқӣ</t>
  </si>
  <si>
    <t>Соҳаҳои иҷтимоӣ, ҳамагӣ:</t>
  </si>
  <si>
    <t>Барномаи сармоягузории давлатӣ, аз он:</t>
  </si>
  <si>
    <t xml:space="preserve">  - пардохти музди меҳнат</t>
  </si>
  <si>
    <t xml:space="preserve">  - сармоягузории асосии мутамарказ </t>
  </si>
  <si>
    <t xml:space="preserve">  - дигар хароҷот</t>
  </si>
  <si>
    <t xml:space="preserve">  - маблағҳои грантӣ </t>
  </si>
  <si>
    <t xml:space="preserve">  - маблағҳои қарзӣ</t>
  </si>
  <si>
    <t>Пардохти карзи берунии асосӣ</t>
  </si>
  <si>
    <t>Пардохти карзи дохилии асосӣ</t>
  </si>
  <si>
    <t>пардохти беруна</t>
  </si>
  <si>
    <t>пардохти дохилӣ</t>
  </si>
  <si>
    <t xml:space="preserve">  Касри буҷет</t>
  </si>
  <si>
    <t xml:space="preserve"> 14. Хароҷоти дигар</t>
  </si>
  <si>
    <t xml:space="preserve">     - захираи фонди музди меҳнат</t>
  </si>
  <si>
    <t xml:space="preserve">    - даромадҳои ғайриандозӣ</t>
  </si>
  <si>
    <t xml:space="preserve">    - даромадҳои андозиӣ</t>
  </si>
  <si>
    <t>5.Тандурустӣ</t>
  </si>
  <si>
    <t xml:space="preserve">   Даромади ҷории буҷети давлатӣ бо дарназардошти грантҳо</t>
  </si>
  <si>
    <t xml:space="preserve">   Даромади ҷории буҷети давлатӣ, аз чумла:</t>
  </si>
  <si>
    <t>Фарқият
бо фоиз</t>
  </si>
  <si>
    <t>Ҳамҷи умумии хароҷоти Буҷети давлатӣ</t>
  </si>
  <si>
    <t>Буҷети тасдиқшудаи соли 2021</t>
  </si>
  <si>
    <t>Буҷети заминавии соли 2022</t>
  </si>
  <si>
    <t>фарқият 2022/2021</t>
  </si>
  <si>
    <t>2021
 нисбати ММД</t>
  </si>
  <si>
    <t>Нишондиҳандаҳои макроиқтисодӣ, даромади Буҷети давлатии Ҷумҳурии Тоҷикистон 
ва ҳадди ниҳоии хароҷот аз рӯи соҳаҳо барои cоли 2022</t>
  </si>
  <si>
    <t>Нишондихандаҳо</t>
  </si>
  <si>
    <t>Ҳадди ниҳоии соли  2024</t>
  </si>
  <si>
    <t>2021
нисбати ММД</t>
  </si>
  <si>
    <t>2024
нисбати ММД</t>
  </si>
  <si>
    <t>х</t>
  </si>
  <si>
    <t xml:space="preserve">    - даромадҳои андозӣ</t>
  </si>
  <si>
    <t>14. Хароҷоти дигар</t>
  </si>
  <si>
    <t xml:space="preserve">     - захираи фонди музди мехнат</t>
  </si>
  <si>
    <t>Касри буҷет</t>
  </si>
  <si>
    <t>Ҳадди ниҳоии соли  2022</t>
  </si>
  <si>
    <t xml:space="preserve">  Касри васеи буҷет бо дарназардошти хизматрасонии карзи давлати, аз чумл:</t>
  </si>
  <si>
    <t xml:space="preserve">   Қарзи беруна</t>
  </si>
  <si>
    <t xml:space="preserve">   Қарзи дохилӣ</t>
  </si>
  <si>
    <t xml:space="preserve"> бо ММД</t>
  </si>
  <si>
    <t>Индикатори тавсиявии ХБА</t>
  </si>
  <si>
    <t>2,5 фоизи ММД</t>
  </si>
  <si>
    <t>Касри буҷети давлатӣ бо ҳисоби методологияи ХБА</t>
  </si>
  <si>
    <t>Варианти 1</t>
  </si>
  <si>
    <t>Нишондихандахои соли 2022</t>
  </si>
  <si>
    <t>2022
нисбати ММД</t>
  </si>
  <si>
    <t>бо млн сомонӣ</t>
  </si>
  <si>
    <t>Нишондиҳандаҳои макроиқтисодӣ, даромади Буҷети давлатии Ҷумҳурии Тоҷикистон 
ва ҳадди ниҳоии хароҷот аз рӯи соҳаҳо барои cолҳои 2024 - 2025</t>
  </si>
  <si>
    <t>Ҳадди ниҳоии соли  2025</t>
  </si>
  <si>
    <t>2025/2024
бо фоиз</t>
  </si>
  <si>
    <t>2024/20232
бо сомонӣ</t>
  </si>
  <si>
    <t>2025/2024
бо сомонӣ</t>
  </si>
  <si>
    <t>2025
нисбати ММД</t>
  </si>
  <si>
    <t>млн сомонӣ</t>
  </si>
  <si>
    <t>Нишондиҳандаҳои макроиқтисодӣ, даромади Буҷети давлатии Ҷумҳурии Тоҷикистон 
ва ҳадди ниҳоии хароҷот аз рӯи соҳаҳо барои cоли 2024</t>
  </si>
  <si>
    <t>Буҷети тасдиқшудаи соли 2023</t>
  </si>
  <si>
    <t>Буҷети базавии соли 2024</t>
  </si>
  <si>
    <t>Ҳадди ниҳоии соли 2024</t>
  </si>
  <si>
    <t>2023
 нисбати ММД</t>
  </si>
  <si>
    <t>фарқият 2024/2023</t>
  </si>
  <si>
    <t xml:space="preserve">  Касри васеи буҷет бо дарназардошти хизматрасонии карзи давлатӣ, аз чумла:</t>
  </si>
  <si>
    <t xml:space="preserve">  Касри васеи буҷет бо дарназардошти хизматрасонии карзи давлатӣ, аз ҷумла:</t>
  </si>
  <si>
    <t>бо % нисбати ММД</t>
  </si>
  <si>
    <t>Маблағҳои буҷетӣ</t>
  </si>
  <si>
    <t xml:space="preserve">  - дигар хароҷот </t>
  </si>
  <si>
    <t>Буҷети тасдиқшудаи 
соли 2024</t>
  </si>
  <si>
    <t>Буҷети базавии соли 2025</t>
  </si>
  <si>
    <t>Нишондиҳандаҳо  барои
соли 2025</t>
  </si>
  <si>
    <t>Нишондиҳандаҳои макроиқтисодӣ, даромади Буҷети давлатии Ҷумҳурии Тоҷикистон 
ва ҳадди ниҳоии хароҷот аз рӯйи соҳаҳо барои cоли 2025</t>
  </si>
  <si>
    <t>фарқият 2025/2024</t>
  </si>
  <si>
    <t>2024
 нисбати ММД</t>
  </si>
  <si>
    <t xml:space="preserve"> хизматрасонии комуналӣ</t>
  </si>
  <si>
    <t>Барномаи сармоягузории давлатӣ, 
аз он:</t>
  </si>
  <si>
    <t xml:space="preserve">   Барномаи сармоягузории давлатӣ, 
аз ҷумла:</t>
  </si>
  <si>
    <t>резерв хокимият</t>
  </si>
  <si>
    <t>фрахт ва сафарҳо</t>
  </si>
  <si>
    <t>чорабинии сиёси</t>
  </si>
  <si>
    <t>Барномаҳои илм</t>
  </si>
  <si>
    <t>Пасол</t>
  </si>
  <si>
    <t>инфлятсия</t>
  </si>
  <si>
    <t>2214, 2215, 2219, 2814</t>
  </si>
  <si>
    <t>дигар хароҷот</t>
  </si>
  <si>
    <t>тест, ВНМО</t>
  </si>
  <si>
    <t>сарартон</t>
  </si>
  <si>
    <t>Барномаи давлатӣ</t>
  </si>
  <si>
    <t>варзиш</t>
  </si>
  <si>
    <t>таваррум</t>
  </si>
  <si>
    <t>давлат</t>
  </si>
  <si>
    <t>рисолат</t>
  </si>
  <si>
    <t>дилшод</t>
  </si>
  <si>
    <t>лизинг</t>
  </si>
  <si>
    <t>Хисрав</t>
  </si>
  <si>
    <t>диловар (тило)</t>
  </si>
  <si>
    <t>\ММ</t>
  </si>
  <si>
    <t>Курби</t>
  </si>
  <si>
    <t>хиссаи ҲҶТ</t>
  </si>
  <si>
    <t>Ро-ун</t>
  </si>
  <si>
    <t xml:space="preserve">  Касри буҷет аз рӯйи методологияи МВФ, аз ҷумла:</t>
  </si>
  <si>
    <t>Даромад</t>
  </si>
  <si>
    <t>Хароҷот</t>
  </si>
  <si>
    <t>Варианти 2</t>
  </si>
  <si>
    <t>Нишондиҳандаҳои макроиқтисодӣ, даромади Буҷети давлатии Ҷумҳурии Тоҷикистон 
ва ҳадди ниҳоии хароҷот аз рӯи соҳаҳо барои cолҳои 2026 - 2027</t>
  </si>
  <si>
    <t>2026
нисбати ММД</t>
  </si>
  <si>
    <t>2027
нисбати ММД</t>
  </si>
  <si>
    <t xml:space="preserve">   Даромади ҷории буҷети давлатӣ, бо грантҳо барои дастгирии буҷет:</t>
  </si>
  <si>
    <t>2027/2026
(сомонӣ)</t>
  </si>
  <si>
    <t>2027/2026
(фоиз)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</si>
</sst>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00000"/>
    <numFmt numFmtId="167" formatCode="0.000"/>
    <numFmt numFmtId="168" formatCode="#,##0.000"/>
  </numFmts>
  <fonts count="52" x14ac:knownFonts="1"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2"/>
      <color theme="1"/>
      <name val="Palatino Linotype"/>
      <family val="1"/>
      <charset val="204"/>
    </font>
    <font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name val="Arial Cyr"/>
      <charset val="204"/>
    </font>
    <font>
      <b/>
      <sz val="14"/>
      <color theme="1"/>
      <name val="Palatino Linotype"/>
      <family val="1"/>
      <charset val="204"/>
    </font>
    <font>
      <b/>
      <i/>
      <sz val="14"/>
      <color theme="1"/>
      <name val="Palatino Linotype"/>
      <family val="1"/>
      <charset val="204"/>
    </font>
    <font>
      <b/>
      <sz val="14"/>
      <color rgb="FFFF0000"/>
      <name val="Palatino Linotype"/>
      <family val="1"/>
      <charset val="204"/>
    </font>
    <font>
      <sz val="16"/>
      <color theme="1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Palatino Linotype"/>
      <family val="1"/>
      <charset val="204"/>
    </font>
    <font>
      <i/>
      <sz val="14"/>
      <name val="Palatino Linotype"/>
      <family val="1"/>
      <charset val="204"/>
    </font>
    <font>
      <i/>
      <sz val="12"/>
      <name val="Palatino Linotype"/>
      <family val="1"/>
      <charset val="204"/>
    </font>
    <font>
      <sz val="12"/>
      <name val="Palatino Linotype"/>
      <family val="1"/>
      <charset val="204"/>
    </font>
    <font>
      <sz val="10"/>
      <color theme="1"/>
      <name val="Palatino Linotype"/>
      <family val="1"/>
      <charset val="204"/>
    </font>
    <font>
      <b/>
      <sz val="11"/>
      <color theme="1"/>
      <name val="Palatino Linotype"/>
      <family val="1"/>
      <charset val="204"/>
    </font>
    <font>
      <b/>
      <sz val="13"/>
      <color theme="1"/>
      <name val="Palatino Linotype"/>
      <family val="1"/>
      <charset val="204"/>
    </font>
    <font>
      <sz val="13"/>
      <color theme="1"/>
      <name val="Palatino Linotype"/>
      <family val="1"/>
      <charset val="204"/>
    </font>
    <font>
      <b/>
      <sz val="10"/>
      <color theme="1"/>
      <name val="Palatino Linotype"/>
      <family val="1"/>
      <charset val="204"/>
    </font>
    <font>
      <i/>
      <sz val="13"/>
      <color theme="1"/>
      <name val="Palatino Linotype"/>
      <family val="1"/>
      <charset val="204"/>
    </font>
    <font>
      <b/>
      <sz val="13"/>
      <color rgb="FFFF0000"/>
      <name val="Palatino Linotype"/>
      <family val="1"/>
      <charset val="204"/>
    </font>
    <font>
      <sz val="13"/>
      <color rgb="FFFF0000"/>
      <name val="Palatino Linotype"/>
      <family val="1"/>
      <charset val="204"/>
    </font>
    <font>
      <i/>
      <sz val="13"/>
      <color rgb="FFFF0000"/>
      <name val="Palatino Linotype"/>
      <family val="1"/>
      <charset val="204"/>
    </font>
    <font>
      <sz val="10"/>
      <color rgb="FFFF0000"/>
      <name val="Palatino Linotype"/>
      <family val="1"/>
      <charset val="204"/>
    </font>
    <font>
      <b/>
      <i/>
      <sz val="14"/>
      <name val="Palatino Linotype"/>
      <family val="1"/>
      <charset val="204"/>
    </font>
    <font>
      <i/>
      <sz val="16"/>
      <name val="Palatino Linotype"/>
      <family val="1"/>
      <charset val="204"/>
    </font>
    <font>
      <sz val="16"/>
      <color rgb="FFFF0000"/>
      <name val="Palatino Linotype"/>
      <family val="1"/>
      <charset val="204"/>
    </font>
    <font>
      <b/>
      <sz val="16"/>
      <color theme="1"/>
      <name val="Palatino Linotype"/>
      <family val="1"/>
      <charset val="204"/>
    </font>
    <font>
      <sz val="16"/>
      <name val="Palatino Linotype"/>
      <family val="1"/>
      <charset val="204"/>
    </font>
    <font>
      <b/>
      <i/>
      <sz val="16"/>
      <name val="Palatino Linotype"/>
      <family val="1"/>
      <charset val="204"/>
    </font>
    <font>
      <b/>
      <sz val="16"/>
      <name val="Palatino Linotype"/>
      <family val="1"/>
      <charset val="204"/>
    </font>
    <font>
      <sz val="12"/>
      <color rgb="FFFF0000"/>
      <name val="Palatino Linotype"/>
      <family val="1"/>
      <charset val="204"/>
    </font>
    <font>
      <i/>
      <sz val="16"/>
      <name val="Palatino Linotype"/>
      <family val="1"/>
      <charset val="204"/>
    </font>
    <font>
      <sz val="16"/>
      <color rgb="FFFF0000"/>
      <name val="Palatino Linotype"/>
      <family val="1"/>
      <charset val="204"/>
    </font>
    <font>
      <i/>
      <sz val="16"/>
      <color rgb="FFFF0000"/>
      <name val="Palatino Linotype"/>
      <family val="1"/>
      <charset val="204"/>
    </font>
    <font>
      <i/>
      <sz val="12"/>
      <color rgb="FFFF0000"/>
      <name val="Palatino Linotype"/>
      <family val="1"/>
      <charset val="204"/>
    </font>
    <font>
      <b/>
      <sz val="12"/>
      <name val="Palatino Linotype"/>
      <family val="1"/>
      <charset val="204"/>
    </font>
    <font>
      <b/>
      <sz val="11"/>
      <name val="Palatino Linotype"/>
      <family val="1"/>
      <charset val="204"/>
    </font>
    <font>
      <sz val="12"/>
      <name val="Palatino Linotype"/>
      <family val="1"/>
      <charset val="204"/>
    </font>
    <font>
      <sz val="14"/>
      <color rgb="FFFF0000"/>
      <name val="Palatino Linotype"/>
      <family val="1"/>
      <charset val="204"/>
    </font>
    <font>
      <i/>
      <sz val="14"/>
      <color theme="1"/>
      <name val="Palatino Linotype"/>
      <family val="1"/>
      <charset val="204"/>
    </font>
    <font>
      <sz val="14"/>
      <color theme="1"/>
      <name val="Palatino Linotype"/>
      <family val="1"/>
      <charset val="204"/>
    </font>
    <font>
      <i/>
      <sz val="14"/>
      <color rgb="FFFF0000"/>
      <name val="Palatino Linotype"/>
      <family val="1"/>
      <charset val="204"/>
    </font>
    <font>
      <sz val="12"/>
      <name val="Palatino Linotype"/>
      <family val="1"/>
      <charset val="204"/>
    </font>
    <font>
      <i/>
      <sz val="14"/>
      <name val="Palatino Linotype"/>
      <family val="1"/>
      <charset val="204"/>
    </font>
    <font>
      <sz val="12"/>
      <color rgb="FFFF0000"/>
      <name val="Arial Cyr"/>
      <charset val="204"/>
    </font>
    <font>
      <b/>
      <sz val="11"/>
      <color rgb="FFFF0000"/>
      <name val="Palatino Linotype"/>
      <family val="1"/>
      <charset val="204"/>
    </font>
    <font>
      <b/>
      <sz val="16"/>
      <color rgb="FFFF0000"/>
      <name val="Palatino Linotype"/>
      <family val="1"/>
      <charset val="204"/>
    </font>
    <font>
      <b/>
      <sz val="18"/>
      <name val="Palatino Linotype"/>
      <family val="1"/>
      <charset val="204"/>
    </font>
    <font>
      <sz val="10"/>
      <name val="Arial Cyr"/>
      <charset val="204"/>
    </font>
    <font>
      <sz val="10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330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164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4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>
      <alignment vertical="center" wrapText="1"/>
    </xf>
    <xf numFmtId="0" fontId="20" fillId="2" borderId="5" xfId="0" applyFont="1" applyFill="1" applyBorder="1" applyAlignment="1">
      <alignment horizontal="left" vertical="center" wrapText="1"/>
    </xf>
    <xf numFmtId="164" fontId="20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5" xfId="0" applyFont="1" applyFill="1" applyBorder="1" applyAlignment="1">
      <alignment horizontal="left" vertical="center" wrapText="1" indent="1"/>
    </xf>
    <xf numFmtId="49" fontId="20" fillId="2" borderId="5" xfId="0" applyNumberFormat="1" applyFont="1" applyFill="1" applyBorder="1" applyAlignment="1">
      <alignment horizontal="left" vertical="center" wrapText="1" indent="1"/>
    </xf>
    <xf numFmtId="0" fontId="18" fillId="2" borderId="5" xfId="0" applyFont="1" applyFill="1" applyBorder="1" applyAlignment="1">
      <alignment horizontal="left" vertical="center" wrapText="1" indent="1"/>
    </xf>
    <xf numFmtId="0" fontId="15" fillId="2" borderId="8" xfId="0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 vertical="center" wrapText="1"/>
    </xf>
    <xf numFmtId="164" fontId="20" fillId="2" borderId="0" xfId="0" applyNumberFormat="1" applyFont="1" applyFill="1" applyBorder="1" applyAlignment="1">
      <alignment horizontal="center" vertical="center" wrapText="1"/>
    </xf>
    <xf numFmtId="164" fontId="18" fillId="2" borderId="5" xfId="0" applyNumberFormat="1" applyFont="1" applyFill="1" applyBorder="1" applyAlignment="1">
      <alignment horizontal="center" vertical="center" wrapText="1"/>
    </xf>
    <xf numFmtId="164" fontId="2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5" xfId="0" applyFont="1" applyFill="1" applyBorder="1" applyAlignment="1">
      <alignment horizontal="left" vertical="center" wrapText="1" indent="2"/>
    </xf>
    <xf numFmtId="164" fontId="23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20" fillId="2" borderId="5" xfId="0" applyNumberFormat="1" applyFont="1" applyFill="1" applyBorder="1" applyAlignment="1">
      <alignment horizontal="center" vertical="center" wrapText="1"/>
    </xf>
    <xf numFmtId="164" fontId="23" fillId="2" borderId="5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vertical="center" wrapText="1"/>
    </xf>
    <xf numFmtId="165" fontId="15" fillId="2" borderId="0" xfId="0" applyNumberFormat="1" applyFont="1" applyFill="1" applyAlignment="1">
      <alignment vertical="center" wrapText="1"/>
    </xf>
    <xf numFmtId="0" fontId="8" fillId="2" borderId="0" xfId="1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 applyProtection="1">
      <alignment horizontal="center" vertical="center" wrapText="1"/>
      <protection hidden="1"/>
    </xf>
    <xf numFmtId="165" fontId="24" fillId="2" borderId="0" xfId="0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164" fontId="28" fillId="4" borderId="10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30" fillId="4" borderId="9" xfId="0" applyFont="1" applyFill="1" applyBorder="1" applyAlignment="1">
      <alignment horizontal="center" vertical="center" wrapText="1"/>
    </xf>
    <xf numFmtId="165" fontId="30" fillId="4" borderId="9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vertical="center" wrapText="1"/>
    </xf>
    <xf numFmtId="164" fontId="30" fillId="4" borderId="0" xfId="0" applyNumberFormat="1" applyFont="1" applyFill="1" applyBorder="1" applyAlignment="1">
      <alignment vertical="center" wrapText="1"/>
    </xf>
    <xf numFmtId="164" fontId="29" fillId="2" borderId="0" xfId="0" applyNumberFormat="1" applyFont="1" applyFill="1" applyAlignment="1">
      <alignment vertical="center" wrapText="1"/>
    </xf>
    <xf numFmtId="164" fontId="28" fillId="4" borderId="9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64" fontId="27" fillId="2" borderId="0" xfId="0" applyNumberFormat="1" applyFont="1" applyFill="1" applyAlignment="1">
      <alignment vertical="center" wrapText="1"/>
    </xf>
    <xf numFmtId="0" fontId="5" fillId="2" borderId="0" xfId="0" applyFont="1" applyFill="1" applyBorder="1"/>
    <xf numFmtId="0" fontId="32" fillId="2" borderId="11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horizontal="left" vertical="center" wrapText="1" indent="2"/>
    </xf>
    <xf numFmtId="0" fontId="34" fillId="2" borderId="0" xfId="0" applyFont="1" applyFill="1" applyBorder="1" applyAlignment="1">
      <alignment vertical="center" wrapText="1"/>
    </xf>
    <xf numFmtId="164" fontId="35" fillId="0" borderId="0" xfId="0" applyNumberFormat="1" applyFont="1" applyFill="1" applyBorder="1" applyAlignment="1">
      <alignment horizontal="center" vertical="center" wrapText="1"/>
    </xf>
    <xf numFmtId="164" fontId="3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0" xfId="0" applyFont="1" applyFill="1" applyBorder="1" applyAlignment="1">
      <alignment vertical="center" wrapText="1"/>
    </xf>
    <xf numFmtId="164" fontId="32" fillId="5" borderId="0" xfId="0" applyNumberFormat="1" applyFont="1" applyFill="1" applyBorder="1" applyAlignment="1" applyProtection="1">
      <alignment horizontal="center" vertical="center" wrapText="1"/>
      <protection hidden="1"/>
    </xf>
    <xf numFmtId="2" fontId="15" fillId="2" borderId="0" xfId="0" applyNumberFormat="1" applyFont="1" applyFill="1" applyBorder="1" applyAlignment="1">
      <alignment vertical="center" wrapText="1"/>
    </xf>
    <xf numFmtId="164" fontId="15" fillId="2" borderId="0" xfId="0" applyNumberFormat="1" applyFont="1" applyFill="1" applyBorder="1" applyAlignment="1">
      <alignment vertical="center" wrapText="1"/>
    </xf>
    <xf numFmtId="164" fontId="12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1" fillId="2" borderId="12" xfId="0" applyFont="1" applyFill="1" applyBorder="1" applyAlignment="1">
      <alignment horizontal="left" vertical="center" wrapText="1"/>
    </xf>
    <xf numFmtId="165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3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12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>
      <alignment horizontal="left" vertical="center" wrapText="1" indent="1"/>
    </xf>
    <xf numFmtId="0" fontId="12" fillId="0" borderId="12" xfId="0" applyFont="1" applyFill="1" applyBorder="1" applyAlignment="1">
      <alignment horizontal="left" vertical="center" wrapText="1" inden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>
      <alignment horizontal="left" vertical="center" wrapText="1" indent="1"/>
    </xf>
    <xf numFmtId="0" fontId="12" fillId="0" borderId="12" xfId="0" applyFont="1" applyFill="1" applyBorder="1" applyAlignment="1">
      <alignment horizontal="left" vertical="center" wrapText="1" indent="2"/>
    </xf>
    <xf numFmtId="0" fontId="10" fillId="0" borderId="14" xfId="0" applyFont="1" applyFill="1" applyBorder="1" applyAlignment="1">
      <alignment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164" fontId="1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 indent="1"/>
    </xf>
    <xf numFmtId="164" fontId="17" fillId="2" borderId="0" xfId="0" applyNumberFormat="1" applyFont="1" applyFill="1" applyBorder="1" applyAlignment="1">
      <alignment horizontal="center" vertical="center" wrapText="1"/>
    </xf>
    <xf numFmtId="164" fontId="21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6" xfId="0" applyFont="1" applyFill="1" applyBorder="1" applyAlignment="1">
      <alignment horizontal="left" vertical="center" wrapText="1" indent="1"/>
    </xf>
    <xf numFmtId="164" fontId="17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0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vertical="center" wrapText="1"/>
    </xf>
    <xf numFmtId="3" fontId="17" fillId="4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7" fillId="4" borderId="12" xfId="0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center" vertical="center" wrapText="1"/>
    </xf>
    <xf numFmtId="0" fontId="38" fillId="4" borderId="1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left" vertical="center" wrapText="1"/>
    </xf>
    <xf numFmtId="1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vertical="center" wrapText="1"/>
    </xf>
    <xf numFmtId="0" fontId="39" fillId="5" borderId="0" xfId="0" applyFont="1" applyFill="1" applyAlignment="1">
      <alignment vertical="center" wrapText="1"/>
    </xf>
    <xf numFmtId="0" fontId="39" fillId="5" borderId="2" xfId="0" applyFont="1" applyFill="1" applyBorder="1" applyAlignment="1">
      <alignment vertical="center" wrapText="1"/>
    </xf>
    <xf numFmtId="0" fontId="39" fillId="5" borderId="3" xfId="0" applyFont="1" applyFill="1" applyBorder="1" applyAlignment="1">
      <alignment vertical="center" wrapText="1"/>
    </xf>
    <xf numFmtId="164" fontId="39" fillId="5" borderId="3" xfId="0" applyNumberFormat="1" applyFont="1" applyFill="1" applyBorder="1" applyAlignment="1">
      <alignment vertical="center" wrapText="1"/>
    </xf>
    <xf numFmtId="0" fontId="39" fillId="5" borderId="1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164" fontId="14" fillId="2" borderId="3" xfId="0" applyNumberFormat="1" applyFont="1" applyFill="1" applyBorder="1" applyAlignment="1">
      <alignment vertical="center" wrapText="1"/>
    </xf>
    <xf numFmtId="165" fontId="14" fillId="2" borderId="3" xfId="0" applyNumberFormat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13" fillId="2" borderId="0" xfId="1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 indent="1"/>
    </xf>
    <xf numFmtId="0" fontId="10" fillId="2" borderId="12" xfId="0" applyFont="1" applyFill="1" applyBorder="1" applyAlignment="1">
      <alignment horizontal="left" vertical="center" wrapText="1" indent="1"/>
    </xf>
    <xf numFmtId="0" fontId="10" fillId="2" borderId="12" xfId="0" applyFont="1" applyFill="1" applyBorder="1" applyAlignment="1">
      <alignment vertical="center" wrapText="1"/>
    </xf>
    <xf numFmtId="2" fontId="14" fillId="2" borderId="3" xfId="0" applyNumberFormat="1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left" vertical="center" wrapText="1" indent="1"/>
    </xf>
    <xf numFmtId="164" fontId="11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2" xfId="0" applyFont="1" applyFill="1" applyBorder="1" applyAlignment="1">
      <alignment horizontal="left" vertical="center" wrapText="1" indent="2"/>
    </xf>
    <xf numFmtId="0" fontId="10" fillId="2" borderId="14" xfId="0" applyFont="1" applyFill="1" applyBorder="1" applyAlignment="1">
      <alignment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4" fillId="6" borderId="0" xfId="0" applyNumberFormat="1" applyFont="1" applyFill="1" applyBorder="1" applyAlignment="1" applyProtection="1">
      <alignment horizontal="center" vertical="center" wrapText="1"/>
      <protection hidden="1"/>
    </xf>
    <xf numFmtId="166" fontId="3" fillId="2" borderId="3" xfId="0" applyNumberFormat="1" applyFont="1" applyFill="1" applyBorder="1" applyAlignment="1">
      <alignment vertical="center" wrapText="1"/>
    </xf>
    <xf numFmtId="167" fontId="3" fillId="2" borderId="3" xfId="0" applyNumberFormat="1" applyFont="1" applyFill="1" applyBorder="1" applyAlignment="1">
      <alignment vertical="center" wrapText="1"/>
    </xf>
    <xf numFmtId="0" fontId="37" fillId="2" borderId="0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164" fontId="40" fillId="2" borderId="0" xfId="0" applyNumberFormat="1" applyFont="1" applyFill="1" applyBorder="1" applyAlignment="1">
      <alignment horizontal="center" vertical="center" wrapText="1"/>
    </xf>
    <xf numFmtId="164" fontId="42" fillId="2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42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41" fillId="2" borderId="0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left" vertical="center" wrapText="1" indent="1"/>
    </xf>
    <xf numFmtId="0" fontId="40" fillId="2" borderId="12" xfId="0" applyFont="1" applyFill="1" applyBorder="1" applyAlignment="1">
      <alignment horizontal="left" vertical="center" wrapText="1" indent="1"/>
    </xf>
    <xf numFmtId="0" fontId="6" fillId="2" borderId="9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164" fontId="31" fillId="2" borderId="1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vertical="center" wrapText="1"/>
    </xf>
    <xf numFmtId="164" fontId="35" fillId="2" borderId="0" xfId="0" applyNumberFormat="1" applyFont="1" applyFill="1" applyBorder="1" applyAlignment="1">
      <alignment horizontal="center" vertical="center" wrapText="1"/>
    </xf>
    <xf numFmtId="164" fontId="36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32" fillId="6" borderId="0" xfId="0" applyFont="1" applyFill="1" applyBorder="1" applyAlignment="1">
      <alignment vertical="center" wrapText="1"/>
    </xf>
    <xf numFmtId="164" fontId="32" fillId="6" borderId="0" xfId="0" applyNumberFormat="1" applyFont="1" applyFill="1" applyBorder="1" applyAlignment="1" applyProtection="1">
      <alignment horizontal="center" vertical="center" wrapText="1"/>
      <protection hidden="1"/>
    </xf>
    <xf numFmtId="0" fontId="37" fillId="4" borderId="17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164" fontId="10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13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164" fontId="11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2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164" fontId="14" fillId="6" borderId="13" xfId="0" applyNumberFormat="1" applyFont="1" applyFill="1" applyBorder="1" applyAlignment="1" applyProtection="1">
      <alignment horizontal="center" vertical="center" wrapText="1"/>
      <protection hidden="1"/>
    </xf>
    <xf numFmtId="0" fontId="25" fillId="2" borderId="20" xfId="0" applyFont="1" applyFill="1" applyBorder="1" applyAlignment="1">
      <alignment vertical="center" wrapText="1"/>
    </xf>
    <xf numFmtId="0" fontId="25" fillId="2" borderId="16" xfId="0" applyFont="1" applyFill="1" applyBorder="1" applyAlignment="1">
      <alignment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164" fontId="14" fillId="6" borderId="15" xfId="0" applyNumberFormat="1" applyFont="1" applyFill="1" applyBorder="1" applyAlignment="1" applyProtection="1">
      <alignment horizontal="center" vertical="center" wrapText="1"/>
      <protection hidden="1"/>
    </xf>
    <xf numFmtId="164" fontId="43" fillId="2" borderId="0" xfId="0" applyNumberFormat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vertical="center" wrapText="1"/>
    </xf>
    <xf numFmtId="164" fontId="14" fillId="5" borderId="3" xfId="0" applyNumberFormat="1" applyFont="1" applyFill="1" applyBorder="1" applyAlignment="1">
      <alignment vertical="center" wrapText="1"/>
    </xf>
    <xf numFmtId="2" fontId="14" fillId="5" borderId="3" xfId="0" applyNumberFormat="1" applyFont="1" applyFill="1" applyBorder="1" applyAlignment="1">
      <alignment vertical="center" wrapText="1"/>
    </xf>
    <xf numFmtId="167" fontId="14" fillId="2" borderId="3" xfId="0" applyNumberFormat="1" applyFont="1" applyFill="1" applyBorder="1" applyAlignment="1">
      <alignment vertical="center" wrapText="1"/>
    </xf>
    <xf numFmtId="166" fontId="14" fillId="2" borderId="3" xfId="0" applyNumberFormat="1" applyFont="1" applyFill="1" applyBorder="1" applyAlignment="1">
      <alignment vertical="center" wrapText="1"/>
    </xf>
    <xf numFmtId="165" fontId="14" fillId="5" borderId="3" xfId="0" applyNumberFormat="1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25" fillId="2" borderId="1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164" fontId="14" fillId="2" borderId="0" xfId="0" applyNumberFormat="1" applyFont="1" applyFill="1" applyAlignment="1">
      <alignment vertic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164" fontId="10" fillId="4" borderId="13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vertical="center" wrapText="1"/>
    </xf>
    <xf numFmtId="164" fontId="10" fillId="4" borderId="7" xfId="0" applyNumberFormat="1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center" vertical="center" wrapText="1"/>
    </xf>
    <xf numFmtId="0" fontId="44" fillId="5" borderId="0" xfId="0" applyFont="1" applyFill="1" applyAlignment="1">
      <alignment vertical="center" wrapText="1"/>
    </xf>
    <xf numFmtId="0" fontId="44" fillId="5" borderId="2" xfId="0" applyFont="1" applyFill="1" applyBorder="1" applyAlignment="1">
      <alignment vertical="center" wrapText="1"/>
    </xf>
    <xf numFmtId="0" fontId="44" fillId="5" borderId="3" xfId="0" applyFont="1" applyFill="1" applyBorder="1" applyAlignment="1">
      <alignment vertical="center" wrapText="1"/>
    </xf>
    <xf numFmtId="164" fontId="44" fillId="5" borderId="3" xfId="0" applyNumberFormat="1" applyFont="1" applyFill="1" applyBorder="1" applyAlignment="1">
      <alignment vertical="center" wrapText="1"/>
    </xf>
    <xf numFmtId="0" fontId="44" fillId="5" borderId="1" xfId="0" applyFont="1" applyFill="1" applyBorder="1" applyAlignment="1">
      <alignment vertical="center" wrapText="1"/>
    </xf>
    <xf numFmtId="0" fontId="44" fillId="5" borderId="3" xfId="0" applyNumberFormat="1" applyFont="1" applyFill="1" applyBorder="1" applyAlignment="1">
      <alignment vertical="center" wrapText="1"/>
    </xf>
    <xf numFmtId="0" fontId="43" fillId="2" borderId="12" xfId="0" applyFont="1" applyFill="1" applyBorder="1" applyAlignment="1">
      <alignment horizontal="left" vertical="center" wrapText="1" indent="1"/>
    </xf>
    <xf numFmtId="164" fontId="43" fillId="2" borderId="13" xfId="0" applyNumberFormat="1" applyFont="1" applyFill="1" applyBorder="1" applyAlignment="1">
      <alignment horizontal="center" vertical="center" wrapText="1"/>
    </xf>
    <xf numFmtId="164" fontId="43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5" borderId="3" xfId="0" applyNumberFormat="1" applyFont="1" applyFill="1" applyBorder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46" fillId="2" borderId="0" xfId="0" applyFont="1" applyFill="1" applyBorder="1"/>
    <xf numFmtId="0" fontId="47" fillId="4" borderId="18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48" fillId="2" borderId="10" xfId="0" applyNumberFormat="1" applyFont="1" applyFill="1" applyBorder="1" applyAlignment="1">
      <alignment horizontal="center" vertical="center" wrapText="1"/>
    </xf>
    <xf numFmtId="164" fontId="43" fillId="2" borderId="7" xfId="0" applyNumberFormat="1" applyFont="1" applyFill="1" applyBorder="1" applyAlignment="1">
      <alignment horizontal="center" vertical="center" wrapText="1"/>
    </xf>
    <xf numFmtId="164" fontId="43" fillId="0" borderId="0" xfId="0" applyNumberFormat="1" applyFont="1" applyFill="1" applyBorder="1" applyAlignment="1">
      <alignment horizontal="center" vertical="center" wrapText="1"/>
    </xf>
    <xf numFmtId="164" fontId="43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40" fillId="0" borderId="0" xfId="0" applyNumberFormat="1" applyFont="1" applyFill="1" applyBorder="1" applyAlignment="1">
      <alignment horizontal="center" vertical="center" wrapText="1"/>
    </xf>
    <xf numFmtId="164" fontId="40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45" fillId="0" borderId="0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4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9" fillId="2" borderId="0" xfId="0" applyFont="1" applyFill="1" applyBorder="1" applyAlignment="1">
      <alignment horizontal="center" vertical="center" wrapText="1"/>
    </xf>
    <xf numFmtId="165" fontId="44" fillId="5" borderId="3" xfId="0" applyNumberFormat="1" applyFont="1" applyFill="1" applyBorder="1" applyAlignment="1">
      <alignment vertical="center" wrapText="1"/>
    </xf>
    <xf numFmtId="164" fontId="32" fillId="2" borderId="0" xfId="0" applyNumberFormat="1" applyFont="1" applyFill="1" applyAlignment="1">
      <alignment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0" fillId="2" borderId="0" xfId="0" applyFill="1"/>
    <xf numFmtId="164" fontId="0" fillId="2" borderId="0" xfId="0" applyNumberFormat="1" applyFill="1"/>
    <xf numFmtId="164" fontId="5" fillId="2" borderId="0" xfId="0" applyNumberFormat="1" applyFont="1" applyFill="1"/>
    <xf numFmtId="3" fontId="0" fillId="2" borderId="0" xfId="0" applyNumberFormat="1" applyFill="1"/>
    <xf numFmtId="0" fontId="51" fillId="2" borderId="0" xfId="0" applyFont="1" applyFill="1"/>
    <xf numFmtId="0" fontId="50" fillId="2" borderId="0" xfId="0" applyFont="1" applyFill="1"/>
    <xf numFmtId="164" fontId="51" fillId="2" borderId="0" xfId="0" applyNumberFormat="1" applyFont="1" applyFill="1"/>
    <xf numFmtId="164" fontId="50" fillId="2" borderId="0" xfId="0" applyNumberFormat="1" applyFont="1" applyFill="1"/>
    <xf numFmtId="0" fontId="37" fillId="4" borderId="21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left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23" xfId="0" applyFont="1" applyFill="1" applyBorder="1" applyAlignment="1">
      <alignment horizontal="left" vertical="center" wrapText="1"/>
    </xf>
    <xf numFmtId="164" fontId="11" fillId="2" borderId="24" xfId="0" applyNumberFormat="1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wrapText="1" indent="1"/>
    </xf>
    <xf numFmtId="0" fontId="12" fillId="2" borderId="23" xfId="0" applyFont="1" applyFill="1" applyBorder="1" applyAlignment="1">
      <alignment horizontal="left" vertical="center" wrapText="1" indent="1"/>
    </xf>
    <xf numFmtId="164" fontId="12" fillId="2" borderId="24" xfId="0" applyNumberFormat="1" applyFont="1" applyFill="1" applyBorder="1" applyAlignment="1">
      <alignment horizontal="center" vertical="center" wrapText="1"/>
    </xf>
    <xf numFmtId="0" fontId="43" fillId="2" borderId="23" xfId="0" applyFont="1" applyFill="1" applyBorder="1" applyAlignment="1">
      <alignment horizontal="left" vertical="center" wrapText="1" indent="1"/>
    </xf>
    <xf numFmtId="0" fontId="10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left" vertical="center" wrapText="1" indent="1"/>
    </xf>
    <xf numFmtId="164" fontId="43" fillId="2" borderId="24" xfId="0" applyNumberFormat="1" applyFont="1" applyFill="1" applyBorder="1" applyAlignment="1">
      <alignment horizontal="center" vertical="center" wrapText="1"/>
    </xf>
    <xf numFmtId="164" fontId="11" fillId="2" borderId="24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23" xfId="0" applyFont="1" applyFill="1" applyBorder="1" applyAlignment="1">
      <alignment horizontal="left" vertical="center" wrapText="1" indent="2"/>
    </xf>
    <xf numFmtId="0" fontId="10" fillId="4" borderId="25" xfId="0" applyFont="1" applyFill="1" applyBorder="1" applyAlignment="1">
      <alignment vertical="center" wrapText="1"/>
    </xf>
    <xf numFmtId="164" fontId="10" fillId="4" borderId="26" xfId="0" applyNumberFormat="1" applyFont="1" applyFill="1" applyBorder="1" applyAlignment="1">
      <alignment horizontal="center" vertical="center" wrapText="1"/>
    </xf>
    <xf numFmtId="164" fontId="10" fillId="4" borderId="27" xfId="0" applyNumberFormat="1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vertical="center" wrapText="1"/>
    </xf>
    <xf numFmtId="168" fontId="12" fillId="0" borderId="0" xfId="0" applyNumberFormat="1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 wrapText="1"/>
    </xf>
    <xf numFmtId="164" fontId="6" fillId="4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41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>
      <alignment horizontal="left" vertical="center" wrapText="1" indent="1"/>
    </xf>
    <xf numFmtId="0" fontId="41" fillId="2" borderId="0" xfId="0" applyFont="1" applyFill="1" applyBorder="1" applyAlignment="1">
      <alignment horizontal="left" vertical="center" wrapText="1" indent="1"/>
    </xf>
    <xf numFmtId="0" fontId="42" fillId="2" borderId="0" xfId="0" applyFont="1" applyFill="1" applyBorder="1" applyAlignment="1">
      <alignment horizontal="left" vertical="center" wrapText="1" indent="1"/>
    </xf>
    <xf numFmtId="0" fontId="41" fillId="2" borderId="0" xfId="0" applyFont="1" applyFill="1" applyBorder="1" applyAlignment="1">
      <alignment horizontal="left" vertical="center" wrapText="1" indent="2"/>
    </xf>
    <xf numFmtId="0" fontId="9" fillId="2" borderId="0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6" fillId="2" borderId="0" xfId="1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wrapText="1"/>
    </xf>
    <xf numFmtId="0" fontId="37" fillId="2" borderId="0" xfId="1" applyFont="1" applyFill="1" applyBorder="1" applyAlignment="1">
      <alignment horizontal="center" wrapText="1"/>
    </xf>
    <xf numFmtId="0" fontId="49" fillId="2" borderId="0" xfId="0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left" vertical="center" wrapText="1"/>
    </xf>
    <xf numFmtId="164" fontId="42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42" fillId="2" borderId="25" xfId="0" applyFont="1" applyFill="1" applyBorder="1" applyAlignment="1">
      <alignment horizontal="left" vertical="center" wrapText="1"/>
    </xf>
    <xf numFmtId="164" fontId="42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42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>
      <alignment vertical="center" wrapText="1"/>
    </xf>
    <xf numFmtId="164" fontId="6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41" fillId="2" borderId="23" xfId="0" applyFont="1" applyFill="1" applyBorder="1" applyAlignment="1">
      <alignment horizontal="left" vertical="center" wrapText="1"/>
    </xf>
    <xf numFmtId="164" fontId="41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>
      <alignment horizontal="left" vertical="center" wrapText="1"/>
    </xf>
    <xf numFmtId="164" fontId="6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27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Акцент6" xfId="1" builtinId="49"/>
    <cellStyle name="Обычный" xfId="0" builtinId="0"/>
  </cellStyles>
  <dxfs count="260"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  <protection locked="1" hidden="1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tted">
          <color auto="1"/>
        </top>
        <bottom style="dotted">
          <color auto="1"/>
        </bottom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tted">
          <color auto="1"/>
        </top>
        <bottom style="dotted">
          <color auto="1"/>
        </bottom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tted">
          <color auto="1"/>
        </top>
        <bottom style="dotted">
          <color auto="1"/>
        </bottom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Palatino Linotype"/>
        <scheme val="none"/>
      </font>
      <fill>
        <patternFill patternType="solid">
          <fgColor indexed="64"/>
          <bgColor theme="0"/>
        </patternFill>
      </fill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i/>
        <strike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theme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Palatino Linotype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Palatino Linotype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outline val="0"/>
        <shadow val="0"/>
        <u val="none"/>
        <vertAlign val="baseline"/>
        <sz val="14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1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Palatino Linotype"/>
        <scheme val="none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Palatino Linotype"/>
        <scheme val="none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Palatino Linotyp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164" formatCode="#,##0.0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164" formatCode="#,##0.0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164" formatCode="#,##0.0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6" name="Таблица22462791012131457" displayName="Таблица22462791012131457" ref="A4:H137" headerRowCount="0" totalsRowCount="1" headerRowDxfId="259" dataDxfId="258">
  <tableColumns count="8">
    <tableColumn id="1" name="Нишондиҳандаҳо" headerRowDxfId="257" totalsRowDxfId="256"/>
    <tableColumn id="5" name="Столбец4" headerRowDxfId="255" totalsRowDxfId="254"/>
    <tableColumn id="3" name="Столбец2" headerRowDxfId="253" totalsRowDxfId="252"/>
    <tableColumn id="9" name="Столбец8" totalsRowFunction="custom" headerRowDxfId="251" totalsRowDxfId="250">
      <totalsRowFormula>D6*0.5%</totalsRowFormula>
    </tableColumn>
    <tableColumn id="6" name="Столбец5" headerRowDxfId="249" totalsRowDxfId="248"/>
    <tableColumn id="2" name="Столбец1" headerRowDxfId="247" totalsRowDxfId="246"/>
    <tableColumn id="10" name="Столбец6" headerRowDxfId="245" totalsRowDxfId="244"/>
    <tableColumn id="17" name="Столбец14" headerRowDxfId="243" totalsRowDxfId="24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Таблица2246279101213145745" displayName="Таблица2246279101213145745" ref="A5:H151" headerRowCount="0" totalsRowCount="1" headerRowDxfId="241" dataDxfId="240" totalsRowDxfId="239">
  <tableColumns count="8">
    <tableColumn id="1" name="Нишондиҳандаҳо" headerRowDxfId="238" totalsRowDxfId="237"/>
    <tableColumn id="4" name="Столбец3" headerRowDxfId="236" totalsRowDxfId="235"/>
    <tableColumn id="7" name="Столбец4" headerRowDxfId="234" dataDxfId="233" totalsRowDxfId="232"/>
    <tableColumn id="3" name="Столбец2" headerRowDxfId="231" dataDxfId="230" totalsRowDxfId="229"/>
    <tableColumn id="6" name="Столбец5" headerRowDxfId="228" totalsRowDxfId="227"/>
    <tableColumn id="2" name="Столбец1" headerRowDxfId="226" totalsRowDxfId="225"/>
    <tableColumn id="10" name="Столбец6" headerRowDxfId="224" totalsRowDxfId="223"/>
    <tableColumn id="17" name="Столбец14" headerRowDxfId="222" totalsRowDxfId="22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Таблица22462791012131457454" displayName="Таблица22462791012131457454" ref="A5:L155" headerRowCount="0" totalsRowShown="0" headerRowDxfId="220" dataDxfId="219" totalsRowDxfId="218">
  <tableColumns count="12">
    <tableColumn id="1" name="Нишондиҳандаҳо" headerRowDxfId="217" dataDxfId="216" totalsRowDxfId="215"/>
    <tableColumn id="4" name="Столбец3" headerRowDxfId="214" dataDxfId="213" totalsRowDxfId="212"/>
    <tableColumn id="7" name="Столбец4" headerRowDxfId="211" dataDxfId="210" totalsRowDxfId="209"/>
    <tableColumn id="3" name="Столбец2" headerRowDxfId="208" dataDxfId="207" totalsRowDxfId="206"/>
    <tableColumn id="6" name="Столбец5" headerRowDxfId="205" dataDxfId="204" totalsRowDxfId="203"/>
    <tableColumn id="2" name="Столбец1" headerRowDxfId="202" dataDxfId="201" totalsRowDxfId="200"/>
    <tableColumn id="10" name="Столбец6" headerRowDxfId="199" dataDxfId="198" totalsRowDxfId="197"/>
    <tableColumn id="17" name="Столбец14" headerRowDxfId="196" dataDxfId="195" totalsRowDxfId="194"/>
    <tableColumn id="5" name="Столбец7" headerRowDxfId="193" dataDxfId="192" totalsRowDxfId="191">
      <calculatedColumnFormula>Таблица22462791012131457454[[#This Row],[Столбец3]]*12.7%</calculatedColumnFormula>
    </tableColumn>
    <tableColumn id="8" name="Столбец8" headerRowDxfId="190" dataDxfId="189"/>
    <tableColumn id="9" name="Столбец9" headerRowDxfId="188" dataDxfId="187" totalsRowDxfId="186">
      <calculatedColumnFormula>5498.2-Таблица22462791012131457454[[#This Row],[Столбец4]]</calculatedColumnFormula>
    </tableColumn>
    <tableColumn id="11" name="Столбец10" headerRowDxfId="185" dataDxfId="184" totalsRowDxfId="18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8" name="Таблица224627910121314574549" displayName="Таблица224627910121314574549" ref="A6:L156" headerRowCount="0" totalsRowShown="0" headerRowDxfId="182" dataDxfId="181" totalsRowDxfId="180">
  <tableColumns count="12">
    <tableColumn id="1" name="Нишондиҳандаҳо" headerRowDxfId="179" dataDxfId="178" totalsRowDxfId="177"/>
    <tableColumn id="4" name="Столбец3" headerRowDxfId="176" dataDxfId="175" totalsRowDxfId="174"/>
    <tableColumn id="7" name="Столбец4" headerRowDxfId="173" dataDxfId="172" totalsRowDxfId="171"/>
    <tableColumn id="3" name="Столбец2" headerRowDxfId="170" dataDxfId="169" totalsRowDxfId="168"/>
    <tableColumn id="6" name="Столбец5" headerRowDxfId="167" dataDxfId="166" totalsRowDxfId="165"/>
    <tableColumn id="2" name="Столбец1" headerRowDxfId="164" dataDxfId="163" totalsRowDxfId="162"/>
    <tableColumn id="10" name="Столбец6" headerRowDxfId="161" dataDxfId="160" totalsRowDxfId="159"/>
    <tableColumn id="17" name="Столбец14" headerRowDxfId="158" dataDxfId="157" totalsRowDxfId="156"/>
    <tableColumn id="5" name="Столбец7" headerRowDxfId="155" dataDxfId="154" totalsRowDxfId="153">
      <calculatedColumnFormula>Таблица224627910121314574549[[#This Row],[Столбец3]]*12.7%</calculatedColumnFormula>
    </tableColumn>
    <tableColumn id="8" name="Столбец8" headerRowDxfId="152" dataDxfId="151"/>
    <tableColumn id="9" name="Столбец9" headerRowDxfId="150" dataDxfId="149" totalsRowDxfId="148">
      <calculatedColumnFormula>5498.2-Таблица224627910121314574549[[#This Row],[Столбец4]]</calculatedColumnFormula>
    </tableColumn>
    <tableColumn id="11" name="Столбец10" headerRowDxfId="147" dataDxfId="146" totalsRowDxfId="14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9" name="Таблица22462791012131457454810" displayName="Таблица22462791012131457454810" ref="A3:J148" headerRowCount="0" totalsRowShown="0" headerRowDxfId="144" dataDxfId="143" totalsRowDxfId="142">
  <tableColumns count="10">
    <tableColumn id="1" name="Нишондиҳандаҳо" headerRowDxfId="141" dataDxfId="140" totalsRowDxfId="139"/>
    <tableColumn id="4" name="Столбец3" headerRowDxfId="138" dataDxfId="137" totalsRowDxfId="136"/>
    <tableColumn id="3" name="Столбец2" headerRowDxfId="135" dataDxfId="134" totalsRowDxfId="133"/>
    <tableColumn id="6" name="Столбец5" headerRowDxfId="132" dataDxfId="131" totalsRowDxfId="130"/>
    <tableColumn id="2" name="Столбец1" headerRowDxfId="129" dataDxfId="128" totalsRowDxfId="127"/>
    <tableColumn id="10" name="Столбец6" headerRowDxfId="126" dataDxfId="125" totalsRowDxfId="124"/>
    <tableColumn id="17" name="Столбец14" headerRowDxfId="123" dataDxfId="122" totalsRowDxfId="121"/>
    <tableColumn id="5" name="Столбец7" headerRowDxfId="120" dataDxfId="119" totalsRowDxfId="118">
      <calculatedColumnFormula>Таблица22462791012131457454810[[#This Row],[Столбец3]]*12.7%</calculatedColumnFormula>
    </tableColumn>
    <tableColumn id="8" name="Столбец8" headerRowDxfId="117" dataDxfId="116"/>
    <tableColumn id="9" name="Столбец9" headerRowDxfId="115" dataDxfId="114" totalsRowDxfId="113">
      <calculatedColumnFormula>5498.2-#REF!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7" name="Таблица224627910121314574548" displayName="Таблица224627910121314574548" ref="A6:N156" headerRowCount="0" totalsRowShown="0" headerRowDxfId="112" dataDxfId="111" totalsRowDxfId="110">
  <tableColumns count="14">
    <tableColumn id="1" name="Нишондиҳандаҳо" headerRowDxfId="109" dataDxfId="108" totalsRowDxfId="107"/>
    <tableColumn id="4" name="Столбец3" headerRowDxfId="106" dataDxfId="105" totalsRowDxfId="104"/>
    <tableColumn id="7" name="Столбец4" headerRowDxfId="103" dataDxfId="102" totalsRowDxfId="101"/>
    <tableColumn id="3" name="Столбец2" headerRowDxfId="100" dataDxfId="99" totalsRowDxfId="98"/>
    <tableColumn id="6" name="Столбец5" headerRowDxfId="97" dataDxfId="96" totalsRowDxfId="95"/>
    <tableColumn id="2" name="Столбец1" headerRowDxfId="94" dataDxfId="93" totalsRowDxfId="92"/>
    <tableColumn id="10" name="Столбец6" headerRowDxfId="91" dataDxfId="90" totalsRowDxfId="89"/>
    <tableColumn id="17" name="Столбец14" headerRowDxfId="88" dataDxfId="87" totalsRowDxfId="86"/>
    <tableColumn id="5" name="Столбец7" headerRowDxfId="85" dataDxfId="84" totalsRowDxfId="83">
      <calculatedColumnFormula>Таблица224627910121314574548[[#This Row],[Столбец3]]*12.7%</calculatedColumnFormula>
    </tableColumn>
    <tableColumn id="8" name="Столбец8" headerRowDxfId="82" dataDxfId="81"/>
    <tableColumn id="9" name="Столбец9" headerRowDxfId="80" dataDxfId="79" totalsRowDxfId="78">
      <calculatedColumnFormula>5498.2-Таблица224627910121314574548[[#This Row],[Столбец4]]</calculatedColumnFormula>
    </tableColumn>
    <tableColumn id="11" name="Столбец10" headerRowDxfId="77" dataDxfId="76" totalsRowDxfId="75"/>
    <tableColumn id="12" name="Столбец11" headerRowDxfId="74" dataDxfId="73" totalsRowDxfId="72"/>
    <tableColumn id="13" name="Столбец12" headerRowDxfId="71" dataDxfId="70" totalsRowDxfId="69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5" name="Таблица22486" displayName="Таблица22486" ref="A3:G116" headerRowCount="0" totalsRowShown="0" headerRowDxfId="68" dataDxfId="67" tableBorderDxfId="66">
  <tableColumns count="7">
    <tableColumn id="1" name="Нишондиҳандаҳо" headerRowDxfId="65" dataDxfId="64" totalsRowDxfId="63"/>
    <tableColumn id="18" name="Столбец14" headerRowDxfId="62" dataDxfId="61" totalsRowDxfId="60"/>
    <tableColumn id="24" name="Столбец20" headerRowDxfId="59" dataDxfId="58" totalsRowDxfId="57"/>
    <tableColumn id="5" name="Столбец4" headerRowDxfId="56" dataDxfId="55" totalsRowDxfId="54"/>
    <tableColumn id="4" name="Столбец3" headerRowDxfId="53" dataDxfId="52" totalsRowDxfId="51"/>
    <tableColumn id="2" name="Столбец1" headerRowDxfId="50" dataDxfId="49" totalsRowDxfId="48"/>
    <tableColumn id="25" name="Столбец21" headerRowDxfId="47" dataDxfId="46" totalsRowDxfId="45"/>
  </tableColumns>
  <tableStyleInfo name="TableStyleLight7" showFirstColumn="0" showLastColumn="0" showRowStripes="1" showColumnStripes="0"/>
</table>
</file>

<file path=xl/tables/table8.xml><?xml version="1.0" encoding="utf-8"?>
<table xmlns="http://schemas.openxmlformats.org/spreadsheetml/2006/main" id="2" name="Таблица224" displayName="Таблица224" ref="A3:J131" headerRowCount="0" totalsRowShown="0" headerRowDxfId="44" dataDxfId="43" tableBorderDxfId="42">
  <tableColumns count="10">
    <tableColumn id="1" name="Нишондиҳандаҳо" headerRowDxfId="41" dataDxfId="40"/>
    <tableColumn id="6" name="Столбец5" headerRowDxfId="39" dataDxfId="38"/>
    <tableColumn id="18" name="Столбец14" headerRowDxfId="37" dataDxfId="36"/>
    <tableColumn id="24" name="Столбец20" headerRowDxfId="35" dataDxfId="34"/>
    <tableColumn id="3" name="Столбец2" headerRowDxfId="33" dataDxfId="32"/>
    <tableColumn id="8" name="Столбец7" headerRowDxfId="31" dataDxfId="30"/>
    <tableColumn id="4" name="Столбец3" headerRowDxfId="29" dataDxfId="28"/>
    <tableColumn id="7" name="Столбец6" headerRowDxfId="27" dataDxfId="26"/>
    <tableColumn id="2" name="Столбец1" headerRowDxfId="25" dataDxfId="24"/>
    <tableColumn id="25" name="Столбец21" headerRowDxfId="23" dataDxfId="22"/>
  </tableColumns>
  <tableStyleInfo name="TableStyleLight7" showFirstColumn="0" showLastColumn="0" showRowStripes="1" showColumnStripes="0"/>
</table>
</file>

<file path=xl/tables/table9.xml><?xml version="1.0" encoding="utf-8"?>
<table xmlns="http://schemas.openxmlformats.org/spreadsheetml/2006/main" id="1" name="Таблица224627910121314572" displayName="Таблица224627910121314572" ref="A4:J137" headerRowCount="0" totalsRowCount="1" headerRowDxfId="21" dataDxfId="20">
  <tableColumns count="10">
    <tableColumn id="1" name="Нишондиҳандаҳо" headerRowDxfId="19" totalsRowDxfId="18"/>
    <tableColumn id="5" name="Столбец4" headerRowDxfId="17" totalsRowDxfId="16"/>
    <tableColumn id="3" name="Столбец2" headerRowDxfId="15" totalsRowDxfId="14"/>
    <tableColumn id="9" name="Столбец8" totalsRowFunction="custom" headerRowDxfId="13" totalsRowDxfId="12">
      <totalsRowFormula>D6*0.5%</totalsRowFormula>
    </tableColumn>
    <tableColumn id="6" name="Столбец5" headerRowDxfId="11" totalsRowDxfId="10"/>
    <tableColumn id="2" name="Столбец1" headerRowDxfId="9" totalsRowDxfId="8"/>
    <tableColumn id="10" name="Столбец6" headerRowDxfId="7" totalsRowDxfId="6"/>
    <tableColumn id="17" name="Столбец14" headerRowDxfId="5" totalsRowDxfId="4"/>
    <tableColumn id="4" name="Столбец3" headerRowDxfId="3" dataDxfId="2"/>
    <tableColumn id="7" name="Столбец7" headerRowDxfId="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showGridLines="0" topLeftCell="A3" zoomScaleNormal="100" zoomScaleSheetLayoutView="70" workbookViewId="0">
      <pane xSplit="1" ySplit="3" topLeftCell="B130" activePane="bottomRight" state="frozen"/>
      <selection activeCell="D14" sqref="D14"/>
      <selection pane="topRight" activeCell="D14" sqref="D14"/>
      <selection pane="bottomLeft" activeCell="D14" sqref="D14"/>
      <selection pane="bottomRight" activeCell="B164" sqref="B164"/>
    </sheetView>
  </sheetViews>
  <sheetFormatPr defaultColWidth="9.140625" defaultRowHeight="18" x14ac:dyDescent="0.2"/>
  <cols>
    <col min="1" max="1" width="62" style="2" customWidth="1"/>
    <col min="2" max="2" width="15.42578125" style="10" customWidth="1"/>
    <col min="3" max="3" width="14.140625" style="2" customWidth="1"/>
    <col min="4" max="4" width="16.5703125" style="2" bestFit="1" customWidth="1"/>
    <col min="5" max="5" width="11.85546875" style="8" customWidth="1"/>
    <col min="6" max="6" width="14" style="3" customWidth="1"/>
    <col min="7" max="7" width="16.85546875" style="3" customWidth="1"/>
    <col min="8" max="8" width="17.28515625" style="2" customWidth="1"/>
    <col min="9" max="16384" width="9.140625" style="2"/>
  </cols>
  <sheetData>
    <row r="1" spans="1:8" ht="42.75" hidden="1" customHeight="1" x14ac:dyDescent="0.2">
      <c r="F1" s="302"/>
      <c r="G1" s="302"/>
    </row>
    <row r="2" spans="1:8" ht="15.6" hidden="1" customHeight="1" x14ac:dyDescent="0.2">
      <c r="F2" s="9"/>
      <c r="G2" s="9"/>
    </row>
    <row r="3" spans="1:8" ht="44.25" customHeight="1" x14ac:dyDescent="0.2">
      <c r="A3" s="303" t="s">
        <v>56</v>
      </c>
      <c r="B3" s="303"/>
      <c r="C3" s="303"/>
      <c r="D3" s="303"/>
      <c r="E3" s="303"/>
      <c r="F3" s="303"/>
      <c r="G3" s="303"/>
      <c r="H3" s="303"/>
    </row>
    <row r="4" spans="1:8" s="1" customFormat="1" ht="29.45" customHeight="1" x14ac:dyDescent="0.2">
      <c r="A4" s="66"/>
      <c r="B4" s="66"/>
      <c r="C4" s="66"/>
      <c r="D4" s="66"/>
      <c r="E4" s="83"/>
      <c r="F4" s="83"/>
      <c r="G4" s="84"/>
      <c r="H4" s="76" t="s">
        <v>74</v>
      </c>
    </row>
    <row r="5" spans="1:8" ht="87" customHeight="1" x14ac:dyDescent="0.2">
      <c r="A5" s="117" t="s">
        <v>26</v>
      </c>
      <c r="B5" s="118" t="s">
        <v>52</v>
      </c>
      <c r="C5" s="118" t="s">
        <v>53</v>
      </c>
      <c r="D5" s="118" t="s">
        <v>75</v>
      </c>
      <c r="E5" s="118" t="s">
        <v>54</v>
      </c>
      <c r="F5" s="118" t="s">
        <v>50</v>
      </c>
      <c r="G5" s="118" t="s">
        <v>55</v>
      </c>
      <c r="H5" s="119" t="s">
        <v>76</v>
      </c>
    </row>
    <row r="6" spans="1:8" s="4" customFormat="1" ht="32.25" customHeight="1" x14ac:dyDescent="0.2">
      <c r="A6" s="120" t="s">
        <v>18</v>
      </c>
      <c r="B6" s="121">
        <v>92640.5</v>
      </c>
      <c r="C6" s="121">
        <v>103964</v>
      </c>
      <c r="D6" s="121">
        <v>103984</v>
      </c>
      <c r="E6" s="121" t="s">
        <v>16</v>
      </c>
      <c r="F6" s="121" t="s">
        <v>16</v>
      </c>
      <c r="G6" s="122" t="s">
        <v>16</v>
      </c>
      <c r="H6" s="123" t="s">
        <v>16</v>
      </c>
    </row>
    <row r="7" spans="1:8" s="5" customFormat="1" ht="21" x14ac:dyDescent="0.2">
      <c r="A7" s="77" t="s">
        <v>15</v>
      </c>
      <c r="B7" s="78">
        <v>6.0214696895134949</v>
      </c>
      <c r="C7" s="78">
        <f>C6/B6*100-100</f>
        <v>12.22305579093377</v>
      </c>
      <c r="D7" s="78">
        <v>11.2321284967158</v>
      </c>
      <c r="E7" s="79" t="s">
        <v>16</v>
      </c>
      <c r="F7" s="79" t="s">
        <v>16</v>
      </c>
      <c r="G7" s="79" t="s">
        <v>16</v>
      </c>
      <c r="H7" s="80" t="s">
        <v>16</v>
      </c>
    </row>
    <row r="8" spans="1:8" s="5" customFormat="1" ht="21" x14ac:dyDescent="0.2">
      <c r="A8" s="77" t="s">
        <v>0</v>
      </c>
      <c r="B8" s="79">
        <v>7.6</v>
      </c>
      <c r="C8" s="79">
        <v>7.9</v>
      </c>
      <c r="D8" s="79">
        <v>7.9</v>
      </c>
      <c r="E8" s="79" t="s">
        <v>16</v>
      </c>
      <c r="F8" s="79" t="s">
        <v>16</v>
      </c>
      <c r="G8" s="79" t="s">
        <v>16</v>
      </c>
      <c r="H8" s="80" t="s">
        <v>16</v>
      </c>
    </row>
    <row r="9" spans="1:8" s="6" customFormat="1" ht="21" x14ac:dyDescent="0.2">
      <c r="A9" s="77" t="s">
        <v>1</v>
      </c>
      <c r="B9" s="79">
        <v>6.9</v>
      </c>
      <c r="C9" s="78">
        <v>7</v>
      </c>
      <c r="D9" s="78">
        <v>7</v>
      </c>
      <c r="E9" s="79" t="s">
        <v>16</v>
      </c>
      <c r="F9" s="79" t="s">
        <v>16</v>
      </c>
      <c r="G9" s="79" t="s">
        <v>16</v>
      </c>
      <c r="H9" s="80" t="s">
        <v>16</v>
      </c>
    </row>
    <row r="10" spans="1:8" s="6" customFormat="1" ht="21" x14ac:dyDescent="0.2">
      <c r="A10" s="77" t="s">
        <v>9</v>
      </c>
      <c r="B10" s="79">
        <v>3.1</v>
      </c>
      <c r="C10" s="79">
        <v>3.4</v>
      </c>
      <c r="D10" s="79">
        <v>3.4</v>
      </c>
      <c r="E10" s="79" t="s">
        <v>16</v>
      </c>
      <c r="F10" s="79" t="s">
        <v>16</v>
      </c>
      <c r="G10" s="79" t="s">
        <v>16</v>
      </c>
      <c r="H10" s="80" t="s">
        <v>16</v>
      </c>
    </row>
    <row r="11" spans="1:8" s="5" customFormat="1" ht="42" x14ac:dyDescent="0.2">
      <c r="A11" s="77" t="s">
        <v>19</v>
      </c>
      <c r="B11" s="81">
        <v>11</v>
      </c>
      <c r="C11" s="81">
        <v>13.3</v>
      </c>
      <c r="D11" s="81">
        <v>13.3</v>
      </c>
      <c r="E11" s="81" t="s">
        <v>16</v>
      </c>
      <c r="F11" s="81" t="s">
        <v>16</v>
      </c>
      <c r="G11" s="81" t="s">
        <v>16</v>
      </c>
      <c r="H11" s="82" t="s">
        <v>16</v>
      </c>
    </row>
    <row r="12" spans="1:8" s="5" customFormat="1" ht="30" customHeight="1" x14ac:dyDescent="0.2">
      <c r="A12" s="85" t="s">
        <v>17</v>
      </c>
      <c r="B12" s="86">
        <f>B16+B20+B23</f>
        <v>27645.795103</v>
      </c>
      <c r="C12" s="86">
        <f>C16+C20+C23</f>
        <v>30257.818150000003</v>
      </c>
      <c r="D12" s="86">
        <f>D16+D20+D23</f>
        <v>30601.529149999998</v>
      </c>
      <c r="E12" s="86">
        <f>D12-B12</f>
        <v>2955.7340469999981</v>
      </c>
      <c r="F12" s="86">
        <f>Таблица22462791012131457[[#This Row],[Столбец8]]/Таблица22462791012131457[[#This Row],[Столбец4]]*100-100</f>
        <v>10.691441631495181</v>
      </c>
      <c r="G12" s="86">
        <f>B12/$B$6*100</f>
        <v>29.842018450893509</v>
      </c>
      <c r="H12" s="87">
        <f t="shared" ref="H12:H41" si="0">D12/$D$6*100</f>
        <v>29.429074809586087</v>
      </c>
    </row>
    <row r="13" spans="1:8" s="5" customFormat="1" ht="28.5" customHeight="1" x14ac:dyDescent="0.2">
      <c r="A13" s="85" t="s">
        <v>49</v>
      </c>
      <c r="B13" s="88">
        <f>B14+B15</f>
        <v>20200</v>
      </c>
      <c r="C13" s="88">
        <f>C14+C15</f>
        <v>21227.1</v>
      </c>
      <c r="D13" s="88">
        <f>D14+D15</f>
        <v>21227.1</v>
      </c>
      <c r="E13" s="88">
        <f t="shared" ref="E13:E43" si="1">D13-B13</f>
        <v>1027.0999999999985</v>
      </c>
      <c r="F13" s="88">
        <f>Таблица22462791012131457[[#This Row],[Столбец8]]/Таблица22462791012131457[[#This Row],[Столбец4]]*100-100</f>
        <v>5.0846534653465199</v>
      </c>
      <c r="G13" s="88">
        <f>Таблица22462791012131457[[#This Row],[Столбец4]]/$B$6*100</f>
        <v>21.804718238783252</v>
      </c>
      <c r="H13" s="89">
        <f t="shared" si="0"/>
        <v>20.41381366364056</v>
      </c>
    </row>
    <row r="14" spans="1:8" s="5" customFormat="1" ht="21" x14ac:dyDescent="0.2">
      <c r="A14" s="90" t="s">
        <v>46</v>
      </c>
      <c r="B14" s="91">
        <f>B17</f>
        <v>18802.035</v>
      </c>
      <c r="C14" s="91">
        <f>19429+362.1</f>
        <v>19791.099999999999</v>
      </c>
      <c r="D14" s="91">
        <f>19429+352.1</f>
        <v>19781.099999999999</v>
      </c>
      <c r="E14" s="91">
        <f t="shared" si="1"/>
        <v>979.06499999999869</v>
      </c>
      <c r="F14" s="91">
        <f>Таблица22462791012131457[[#This Row],[Столбец8]]/Таблица22462791012131457[[#This Row],[Столбец4]]*100-100</f>
        <v>5.2072288983612651</v>
      </c>
      <c r="G14" s="91">
        <f>Таблица22462791012131457[[#This Row],[Столбец4]]/$B$6*100</f>
        <v>20.295696806472328</v>
      </c>
      <c r="H14" s="92">
        <f t="shared" si="0"/>
        <v>19.023215110016924</v>
      </c>
    </row>
    <row r="15" spans="1:8" s="5" customFormat="1" ht="21" x14ac:dyDescent="0.2">
      <c r="A15" s="90" t="s">
        <v>45</v>
      </c>
      <c r="B15" s="91">
        <f>B18</f>
        <v>1397.9649999999999</v>
      </c>
      <c r="C15" s="91">
        <v>1436</v>
      </c>
      <c r="D15" s="91">
        <v>1446</v>
      </c>
      <c r="E15" s="91">
        <f t="shared" si="1"/>
        <v>48.035000000000082</v>
      </c>
      <c r="F15" s="91">
        <f>Таблица22462791012131457[[#This Row],[Столбец8]]/Таблица22462791012131457[[#This Row],[Столбец4]]*100-100</f>
        <v>3.436065995929809</v>
      </c>
      <c r="G15" s="91">
        <f>Таблица22462791012131457[[#This Row],[Столбец4]]/$B$6*100</f>
        <v>1.5090214323109223</v>
      </c>
      <c r="H15" s="92">
        <f t="shared" si="0"/>
        <v>1.3905985536236345</v>
      </c>
    </row>
    <row r="16" spans="1:8" s="5" customFormat="1" ht="42" x14ac:dyDescent="0.2">
      <c r="A16" s="85" t="s">
        <v>48</v>
      </c>
      <c r="B16" s="88">
        <f>B17+B18+B19</f>
        <v>20500</v>
      </c>
      <c r="C16" s="88">
        <f>C17+C18+C19</f>
        <v>21759.1</v>
      </c>
      <c r="D16" s="88">
        <f>D17+D18+D19</f>
        <v>21759.1</v>
      </c>
      <c r="E16" s="88">
        <f t="shared" si="1"/>
        <v>1259.0999999999985</v>
      </c>
      <c r="F16" s="88">
        <f>Таблица22462791012131457[[#This Row],[Столбец8]]/Таблица22462791012131457[[#This Row],[Столбец4]]*100-100</f>
        <v>6.1419512195121939</v>
      </c>
      <c r="G16" s="88">
        <f>Таблица22462791012131457[[#This Row],[Столбец4]]/$B$6*100</f>
        <v>22.128550687874093</v>
      </c>
      <c r="H16" s="89">
        <f t="shared" si="0"/>
        <v>20.925430835513154</v>
      </c>
    </row>
    <row r="17" spans="1:8" s="5" customFormat="1" ht="21" x14ac:dyDescent="0.2">
      <c r="A17" s="90" t="s">
        <v>46</v>
      </c>
      <c r="B17" s="91">
        <v>18802.035</v>
      </c>
      <c r="C17" s="91">
        <f>19429+362.1</f>
        <v>19791.099999999999</v>
      </c>
      <c r="D17" s="91">
        <f>19429+352.1</f>
        <v>19781.099999999999</v>
      </c>
      <c r="E17" s="91">
        <f t="shared" si="1"/>
        <v>979.06499999999869</v>
      </c>
      <c r="F17" s="91">
        <f>Таблица22462791012131457[[#This Row],[Столбец8]]/Таблица22462791012131457[[#This Row],[Столбец4]]*100-100</f>
        <v>5.2072288983612651</v>
      </c>
      <c r="G17" s="91">
        <f>Таблица22462791012131457[[#This Row],[Столбец4]]/$B$6*100</f>
        <v>20.295696806472328</v>
      </c>
      <c r="H17" s="92">
        <f t="shared" si="0"/>
        <v>19.023215110016924</v>
      </c>
    </row>
    <row r="18" spans="1:8" s="5" customFormat="1" ht="21" x14ac:dyDescent="0.2">
      <c r="A18" s="90" t="s">
        <v>45</v>
      </c>
      <c r="B18" s="91">
        <v>1397.9649999999999</v>
      </c>
      <c r="C18" s="91">
        <v>1436</v>
      </c>
      <c r="D18" s="91">
        <v>1446</v>
      </c>
      <c r="E18" s="91">
        <f t="shared" si="1"/>
        <v>48.035000000000082</v>
      </c>
      <c r="F18" s="91">
        <f>Таблица22462791012131457[[#This Row],[Столбец8]]/Таблица22462791012131457[[#This Row],[Столбец4]]*100-100</f>
        <v>3.436065995929809</v>
      </c>
      <c r="G18" s="91">
        <f>Таблица22462791012131457[[#This Row],[Столбец4]]/$B$6*100</f>
        <v>1.5090214323109223</v>
      </c>
      <c r="H18" s="92">
        <f t="shared" si="0"/>
        <v>1.3905985536236345</v>
      </c>
    </row>
    <row r="19" spans="1:8" s="5" customFormat="1" ht="21" x14ac:dyDescent="0.2">
      <c r="A19" s="90" t="s">
        <v>25</v>
      </c>
      <c r="B19" s="93">
        <v>300</v>
      </c>
      <c r="C19" s="91">
        <f>40*C11</f>
        <v>532</v>
      </c>
      <c r="D19" s="91">
        <f>40*D11</f>
        <v>532</v>
      </c>
      <c r="E19" s="91">
        <f t="shared" si="1"/>
        <v>232</v>
      </c>
      <c r="F19" s="91">
        <f>Таблица22462791012131457[[#This Row],[Столбец8]]/Таблица22462791012131457[[#This Row],[Столбец4]]*100-100</f>
        <v>77.333333333333343</v>
      </c>
      <c r="G19" s="91">
        <f>Таблица22462791012131457[[#This Row],[Столбец4]]/$B$6*100</f>
        <v>0.32383244909084041</v>
      </c>
      <c r="H19" s="92">
        <f t="shared" si="0"/>
        <v>0.51161717187259581</v>
      </c>
    </row>
    <row r="20" spans="1:8" s="5" customFormat="1" ht="42" x14ac:dyDescent="0.2">
      <c r="A20" s="85" t="s">
        <v>20</v>
      </c>
      <c r="B20" s="88">
        <f>B29</f>
        <v>4877.6051029999999</v>
      </c>
      <c r="C20" s="88">
        <f>C21+C22</f>
        <v>6190.389000000001</v>
      </c>
      <c r="D20" s="88">
        <f>D21+D22</f>
        <v>6463.9030000000002</v>
      </c>
      <c r="E20" s="88">
        <f t="shared" si="1"/>
        <v>1586.2978970000004</v>
      </c>
      <c r="F20" s="88">
        <f>Таблица22462791012131457[[#This Row],[Столбец8]]/Таблица22462791012131457[[#This Row],[Столбец4]]*100-100</f>
        <v>32.522064896650562</v>
      </c>
      <c r="G20" s="88">
        <f>Таблица22462791012131457[[#This Row],[Столбец4]]/$B$6*100</f>
        <v>5.2650893540082357</v>
      </c>
      <c r="H20" s="89">
        <f t="shared" si="0"/>
        <v>6.2162476919526082</v>
      </c>
    </row>
    <row r="21" spans="1:8" s="6" customFormat="1" ht="21" x14ac:dyDescent="0.2">
      <c r="A21" s="90" t="s">
        <v>21</v>
      </c>
      <c r="B21" s="91">
        <f t="shared" ref="B21:D22" si="2">B30</f>
        <v>2537.4143199999999</v>
      </c>
      <c r="C21" s="91">
        <f t="shared" si="2"/>
        <v>3189.7330000000006</v>
      </c>
      <c r="D21" s="91">
        <f t="shared" si="2"/>
        <v>3463.2469999999998</v>
      </c>
      <c r="E21" s="91">
        <f t="shared" si="1"/>
        <v>925.83267999999998</v>
      </c>
      <c r="F21" s="91">
        <f>Таблица22462791012131457[[#This Row],[Столбец8]]/Таблица22462791012131457[[#This Row],[Столбец4]]*100-100</f>
        <v>36.487248956646539</v>
      </c>
      <c r="G21" s="91">
        <f>Таблица22462791012131457[[#This Row],[Столбец4]]/$B$6*100</f>
        <v>2.7389903120125645</v>
      </c>
      <c r="H21" s="92">
        <f t="shared" si="0"/>
        <v>3.3305575857824281</v>
      </c>
    </row>
    <row r="22" spans="1:8" s="5" customFormat="1" ht="21" x14ac:dyDescent="0.2">
      <c r="A22" s="90" t="s">
        <v>22</v>
      </c>
      <c r="B22" s="91">
        <f t="shared" si="2"/>
        <v>2340.190783</v>
      </c>
      <c r="C22" s="91">
        <f t="shared" si="2"/>
        <v>3000.6559999999999</v>
      </c>
      <c r="D22" s="91">
        <f t="shared" si="2"/>
        <v>3000.6559999999999</v>
      </c>
      <c r="E22" s="91">
        <f t="shared" si="1"/>
        <v>660.46521699999994</v>
      </c>
      <c r="F22" s="91">
        <f>Таблица22462791012131457[[#This Row],[Столбец8]]/Таблица22462791012131457[[#This Row],[Столбец4]]*100-100</f>
        <v>28.222708242330498</v>
      </c>
      <c r="G22" s="91">
        <f>Таблица22462791012131457[[#This Row],[Столбец4]]/$B$6*100</f>
        <v>2.5260990419956717</v>
      </c>
      <c r="H22" s="92">
        <f t="shared" si="0"/>
        <v>2.8856901061701801</v>
      </c>
    </row>
    <row r="23" spans="1:8" s="5" customFormat="1" ht="21" x14ac:dyDescent="0.2">
      <c r="A23" s="85" t="s">
        <v>23</v>
      </c>
      <c r="B23" s="86">
        <v>2268.19</v>
      </c>
      <c r="C23" s="86">
        <f>C32+129</f>
        <v>2308.32915</v>
      </c>
      <c r="D23" s="86">
        <f>D32+134.4</f>
        <v>2378.5261500000001</v>
      </c>
      <c r="E23" s="86">
        <f t="shared" si="1"/>
        <v>110.33615000000009</v>
      </c>
      <c r="F23" s="86">
        <f>Таблица22462791012131457[[#This Row],[Столбец8]]/Таблица22462791012131457[[#This Row],[Столбец4]]*100-100</f>
        <v>4.8645020919764193</v>
      </c>
      <c r="G23" s="86">
        <f>Таблица22462791012131457[[#This Row],[Столбец4]]/$B$6*100</f>
        <v>2.4483784090111778</v>
      </c>
      <c r="H23" s="87">
        <f t="shared" si="0"/>
        <v>2.2873962821203264</v>
      </c>
    </row>
    <row r="24" spans="1:8" s="6" customFormat="1" ht="48.75" customHeight="1" x14ac:dyDescent="0.2">
      <c r="A24" s="85" t="s">
        <v>51</v>
      </c>
      <c r="B24" s="86">
        <f>B25+B29+B32</f>
        <v>28108.956545999998</v>
      </c>
      <c r="C24" s="86">
        <f>C25+C29+C32</f>
        <v>30630.125819000001</v>
      </c>
      <c r="D24" s="86">
        <f>D25+D29+D32</f>
        <v>31120.556080999999</v>
      </c>
      <c r="E24" s="86">
        <f t="shared" si="1"/>
        <v>3011.5995350000012</v>
      </c>
      <c r="F24" s="86">
        <f>Таблица22462791012131457[[#This Row],[Столбец8]]/Таблица22462791012131457[[#This Row],[Столбец4]]*100-100</f>
        <v>10.714021098832148</v>
      </c>
      <c r="G24" s="86">
        <f>Таблица22462791012131457[[#This Row],[Столбец4]]/$B$6*100</f>
        <v>30.341974132263967</v>
      </c>
      <c r="H24" s="87">
        <f t="shared" si="0"/>
        <v>29.928215957262655</v>
      </c>
    </row>
    <row r="25" spans="1:8" s="5" customFormat="1" ht="21" x14ac:dyDescent="0.2">
      <c r="A25" s="94" t="s">
        <v>27</v>
      </c>
      <c r="B25" s="86">
        <f>B34+B41+B48+B83+B129+0.1</f>
        <v>21097.152990999999</v>
      </c>
      <c r="C25" s="86">
        <f>C34+C41+C48+C83+C129+0.1</f>
        <v>22220.701668999998</v>
      </c>
      <c r="D25" s="86">
        <f>D34+D41+D48+D83+D129</f>
        <v>22412.526931</v>
      </c>
      <c r="E25" s="86">
        <f t="shared" si="1"/>
        <v>1315.3739400000013</v>
      </c>
      <c r="F25" s="86">
        <f>Таблица22462791012131457[[#This Row],[Столбец8]]/Таблица22462791012131457[[#This Row],[Столбец4]]*100-100</f>
        <v>6.2348409785961962</v>
      </c>
      <c r="G25" s="86">
        <f>Таблица22462791012131457[[#This Row],[Столбец4]]/$B$6*100</f>
        <v>22.773142406398929</v>
      </c>
      <c r="H25" s="87">
        <f t="shared" si="0"/>
        <v>21.553822637136484</v>
      </c>
    </row>
    <row r="26" spans="1:8" s="5" customFormat="1" ht="21" x14ac:dyDescent="0.2">
      <c r="A26" s="95" t="s">
        <v>33</v>
      </c>
      <c r="B26" s="91">
        <f>B35+B42+B49+B84+B130</f>
        <v>6034.3300409999993</v>
      </c>
      <c r="C26" s="91">
        <f>C35+C42+C49+C84+C130</f>
        <v>6096.1455850000002</v>
      </c>
      <c r="D26" s="91">
        <f>D35+D42+D49+D84+D130</f>
        <v>6096.5811349999985</v>
      </c>
      <c r="E26" s="91">
        <f t="shared" si="1"/>
        <v>62.251093999999284</v>
      </c>
      <c r="F26" s="91">
        <f>Таблица22462791012131457[[#This Row],[Столбец8]]/Таблица22462791012131457[[#This Row],[Столбец4]]*100-100</f>
        <v>1.0316156653188813</v>
      </c>
      <c r="G26" s="91">
        <f>Таблица22462791012131457[[#This Row],[Столбец4]]/$B$6*100</f>
        <v>6.5137062526648704</v>
      </c>
      <c r="H26" s="92">
        <f t="shared" si="0"/>
        <v>5.8629992450761641</v>
      </c>
    </row>
    <row r="27" spans="1:8" s="5" customFormat="1" ht="21" x14ac:dyDescent="0.2">
      <c r="A27" s="95" t="s">
        <v>34</v>
      </c>
      <c r="B27" s="91">
        <f>B36+B43+B50+B85-0.2</f>
        <v>3642.3970000000004</v>
      </c>
      <c r="C27" s="91">
        <f>C36+C43+C50+C85</f>
        <v>3596.0770000000002</v>
      </c>
      <c r="D27" s="91">
        <f>D36+D43+D50+D85-0.2</f>
        <v>3642.3970000000004</v>
      </c>
      <c r="E27" s="91">
        <f t="shared" si="1"/>
        <v>0</v>
      </c>
      <c r="F27" s="91">
        <f>Таблица22462791012131457[[#This Row],[Столбец8]]/Таблица22462791012131457[[#This Row],[Столбец4]]*100-100</f>
        <v>0</v>
      </c>
      <c r="G27" s="91">
        <f>Таблица22462791012131457[[#This Row],[Столбец4]]/$B$6*100</f>
        <v>3.9317544702370997</v>
      </c>
      <c r="H27" s="92">
        <f t="shared" si="0"/>
        <v>3.5028437067241116</v>
      </c>
    </row>
    <row r="28" spans="1:8" s="5" customFormat="1" ht="21" x14ac:dyDescent="0.2">
      <c r="A28" s="95" t="s">
        <v>35</v>
      </c>
      <c r="B28" s="96">
        <f>B37+B44+B51+B86+B129-B130</f>
        <v>11420.22595</v>
      </c>
      <c r="C28" s="96">
        <f>C37+C44+C51+C86+C129-C130</f>
        <v>12528.379084</v>
      </c>
      <c r="D28" s="96">
        <f>D37+D44+D51+D86+D129-D130</f>
        <v>12673.348796000002</v>
      </c>
      <c r="E28" s="96">
        <f t="shared" si="1"/>
        <v>1253.122846000002</v>
      </c>
      <c r="F28" s="96">
        <f>Таблица22462791012131457[[#This Row],[Столбец8]]/Таблица22462791012131457[[#This Row],[Столбец4]]*100-100</f>
        <v>10.972837590835965</v>
      </c>
      <c r="G28" s="96">
        <f>Таблица22462791012131457[[#This Row],[Столбец4]]/$B$6*100</f>
        <v>12.327465795197565</v>
      </c>
      <c r="H28" s="97">
        <f t="shared" si="0"/>
        <v>12.187787348053549</v>
      </c>
    </row>
    <row r="29" spans="1:8" s="5" customFormat="1" ht="21" x14ac:dyDescent="0.2">
      <c r="A29" s="98" t="s">
        <v>32</v>
      </c>
      <c r="B29" s="86">
        <f>B38+B45+B52+B87</f>
        <v>4877.6051029999999</v>
      </c>
      <c r="C29" s="86">
        <f>C38+C45+C52+C87</f>
        <v>6230.0950000000003</v>
      </c>
      <c r="D29" s="86">
        <f>D38+D45+D52+D87</f>
        <v>6463.9029999999993</v>
      </c>
      <c r="E29" s="86">
        <f t="shared" si="1"/>
        <v>1586.2978969999995</v>
      </c>
      <c r="F29" s="86">
        <f>Таблица22462791012131457[[#This Row],[Столбец8]]/Таблица22462791012131457[[#This Row],[Столбец4]]*100-100</f>
        <v>32.522064896650562</v>
      </c>
      <c r="G29" s="86">
        <f>Таблица22462791012131457[[#This Row],[Столбец4]]/$B$6*100</f>
        <v>5.2650893540082357</v>
      </c>
      <c r="H29" s="87">
        <f t="shared" si="0"/>
        <v>6.2162476919526073</v>
      </c>
    </row>
    <row r="30" spans="1:8" s="5" customFormat="1" ht="21" x14ac:dyDescent="0.2">
      <c r="A30" s="95" t="s">
        <v>36</v>
      </c>
      <c r="B30" s="99">
        <v>2537.4143199999999</v>
      </c>
      <c r="C30" s="91">
        <f>28.495+131.177+295.515+449.425+265.402+1041.064+212.96+765.695</f>
        <v>3189.7330000000006</v>
      </c>
      <c r="D30" s="91">
        <f>39.9+45.12+144.477+308.815+475.36+295.327+1044.588+232.91+876.75</f>
        <v>3463.2469999999998</v>
      </c>
      <c r="E30" s="91">
        <f t="shared" si="1"/>
        <v>925.83267999999998</v>
      </c>
      <c r="F30" s="91">
        <f>Таблица22462791012131457[[#This Row],[Столбец8]]/Таблица22462791012131457[[#This Row],[Столбец4]]*100-100</f>
        <v>36.487248956646539</v>
      </c>
      <c r="G30" s="91">
        <f>Таблица22462791012131457[[#This Row],[Столбец4]]/$B$6*100</f>
        <v>2.7389903120125645</v>
      </c>
      <c r="H30" s="92">
        <f t="shared" si="0"/>
        <v>3.3305575857824281</v>
      </c>
    </row>
    <row r="31" spans="1:8" s="5" customFormat="1" ht="21" x14ac:dyDescent="0.2">
      <c r="A31" s="95" t="s">
        <v>37</v>
      </c>
      <c r="B31" s="99">
        <v>2340.190783</v>
      </c>
      <c r="C31" s="91">
        <f>252.39+83.637+93.121+1289.541+512.236+769.731</f>
        <v>3000.6559999999999</v>
      </c>
      <c r="D31" s="91">
        <f>252.39+83.637+93.121+1289.541+512.236+769.731</f>
        <v>3000.6559999999999</v>
      </c>
      <c r="E31" s="91">
        <f t="shared" si="1"/>
        <v>660.46521699999994</v>
      </c>
      <c r="F31" s="91">
        <f>Таблица22462791012131457[[#This Row],[Столбец8]]/Таблица22462791012131457[[#This Row],[Столбец4]]*100-100</f>
        <v>28.222708242330498</v>
      </c>
      <c r="G31" s="91">
        <f>Таблица22462791012131457[[#This Row],[Столбец4]]/$B$6*100</f>
        <v>2.5260990419956717</v>
      </c>
      <c r="H31" s="92">
        <f t="shared" si="0"/>
        <v>2.8856901061701801</v>
      </c>
    </row>
    <row r="32" spans="1:8" s="5" customFormat="1" ht="21" x14ac:dyDescent="0.2">
      <c r="A32" s="94" t="s">
        <v>29</v>
      </c>
      <c r="B32" s="86">
        <f>B39+B46+B53+B88</f>
        <v>2134.1984519999996</v>
      </c>
      <c r="C32" s="86">
        <f>C39+C46+C53+C88</f>
        <v>2179.32915</v>
      </c>
      <c r="D32" s="86">
        <f>D39+D46+D53+D88</f>
        <v>2244.1261500000001</v>
      </c>
      <c r="E32" s="86">
        <f t="shared" si="1"/>
        <v>109.92769800000042</v>
      </c>
      <c r="F32" s="86">
        <f>Таблица22462791012131457[[#This Row],[Столбец8]]/Таблица22462791012131457[[#This Row],[Столбец4]]*100-100</f>
        <v>5.1507720801214703</v>
      </c>
      <c r="G32" s="86">
        <f>Таблица22462791012131457[[#This Row],[Столбец4]]/$B$6*100</f>
        <v>2.3037423718568006</v>
      </c>
      <c r="H32" s="87">
        <f t="shared" si="0"/>
        <v>2.1581456281735649</v>
      </c>
    </row>
    <row r="33" spans="1:8" s="5" customFormat="1" ht="21" x14ac:dyDescent="0.2">
      <c r="A33" s="98" t="s">
        <v>12</v>
      </c>
      <c r="B33" s="86">
        <f>B34+B38+B39</f>
        <v>1430.1991439999999</v>
      </c>
      <c r="C33" s="86">
        <f>C34+C38+C39</f>
        <v>1466.8000000000002</v>
      </c>
      <c r="D33" s="86">
        <f>D34+D38+D39</f>
        <v>1475.8000000000002</v>
      </c>
      <c r="E33" s="86">
        <f t="shared" si="1"/>
        <v>45.600856000000249</v>
      </c>
      <c r="F33" s="86">
        <f>Таблица22462791012131457[[#This Row],[Столбец8]]/Таблица22462791012131457[[#This Row],[Столбец4]]*100-100</f>
        <v>3.1884270236984804</v>
      </c>
      <c r="G33" s="86">
        <f>Таблица22462791012131457[[#This Row],[Столбец4]]/$B$6*100</f>
        <v>1.5438163049638116</v>
      </c>
      <c r="H33" s="87">
        <f t="shared" si="0"/>
        <v>1.4192568087398063</v>
      </c>
    </row>
    <row r="34" spans="1:8" s="5" customFormat="1" ht="21" x14ac:dyDescent="0.2">
      <c r="A34" s="100" t="s">
        <v>27</v>
      </c>
      <c r="B34" s="86">
        <f>B35+B36+B37</f>
        <v>1091.4255439999999</v>
      </c>
      <c r="C34" s="86">
        <f>C35+C36+C37</f>
        <v>1165.2</v>
      </c>
      <c r="D34" s="86">
        <f>D35+D36+D37</f>
        <v>1173.2</v>
      </c>
      <c r="E34" s="86">
        <f t="shared" si="1"/>
        <v>81.7744560000001</v>
      </c>
      <c r="F34" s="86">
        <f>Таблица22462791012131457[[#This Row],[Столбец8]]/Таблица22462791012131457[[#This Row],[Столбец4]]*100-100</f>
        <v>7.4924447617656256</v>
      </c>
      <c r="G34" s="86">
        <f>Таблица22462791012131457[[#This Row],[Столбец4]]/$B$6*100</f>
        <v>1.1781300230460761</v>
      </c>
      <c r="H34" s="87">
        <f t="shared" si="0"/>
        <v>1.1282505000769349</v>
      </c>
    </row>
    <row r="35" spans="1:8" s="5" customFormat="1" ht="21" x14ac:dyDescent="0.2">
      <c r="A35" s="95" t="s">
        <v>33</v>
      </c>
      <c r="B35" s="93">
        <v>468.52569799999998</v>
      </c>
      <c r="C35" s="96">
        <v>491.2</v>
      </c>
      <c r="D35" s="96">
        <v>491.2</v>
      </c>
      <c r="E35" s="96">
        <f t="shared" si="1"/>
        <v>22.674302000000012</v>
      </c>
      <c r="F35" s="96">
        <f>Таблица22462791012131457[[#This Row],[Столбец8]]/Таблица22462791012131457[[#This Row],[Столбец4]]*100-100</f>
        <v>4.8395001804148592</v>
      </c>
      <c r="G35" s="96">
        <f>Таблица22462791012131457[[#This Row],[Столбец4]]/$B$6*100</f>
        <v>0.50574608081778483</v>
      </c>
      <c r="H35" s="97">
        <f t="shared" si="0"/>
        <v>0.47238036621018614</v>
      </c>
    </row>
    <row r="36" spans="1:8" s="5" customFormat="1" ht="21" x14ac:dyDescent="0.2">
      <c r="A36" s="95" t="s">
        <v>34</v>
      </c>
      <c r="B36" s="93">
        <v>146</v>
      </c>
      <c r="C36" s="96">
        <v>137.6</v>
      </c>
      <c r="D36" s="96">
        <v>146</v>
      </c>
      <c r="E36" s="96">
        <f t="shared" si="1"/>
        <v>0</v>
      </c>
      <c r="F36" s="96">
        <f>Таблица22462791012131457[[#This Row],[Столбец8]]/Таблица22462791012131457[[#This Row],[Столбец4]]*100-100</f>
        <v>0</v>
      </c>
      <c r="G36" s="96">
        <f>Таблица22462791012131457[[#This Row],[Столбец4]]/$B$6*100</f>
        <v>0.15759845855754234</v>
      </c>
      <c r="H36" s="97">
        <f t="shared" si="0"/>
        <v>0.14040621634097553</v>
      </c>
    </row>
    <row r="37" spans="1:8" s="5" customFormat="1" ht="21" x14ac:dyDescent="0.2">
      <c r="A37" s="95" t="s">
        <v>35</v>
      </c>
      <c r="B37" s="93">
        <f>474.899846+1.9+0.1</f>
        <v>476.89984600000003</v>
      </c>
      <c r="C37" s="96">
        <f>515+23.2-1.8</f>
        <v>536.40000000000009</v>
      </c>
      <c r="D37" s="96">
        <f>515.4+22.4-1.8</f>
        <v>536</v>
      </c>
      <c r="E37" s="96">
        <f t="shared" si="1"/>
        <v>59.100153999999975</v>
      </c>
      <c r="F37" s="96">
        <f>Таблица22462791012131457[[#This Row],[Столбец8]]/Таблица22462791012131457[[#This Row],[Столбец4]]*100-100</f>
        <v>12.392571416347238</v>
      </c>
      <c r="G37" s="96">
        <f>Таблица22462791012131457[[#This Row],[Столбец4]]/$B$6*100</f>
        <v>0.51478548367074872</v>
      </c>
      <c r="H37" s="97">
        <f t="shared" si="0"/>
        <v>0.51546391752577314</v>
      </c>
    </row>
    <row r="38" spans="1:8" s="5" customFormat="1" ht="21" x14ac:dyDescent="0.2">
      <c r="A38" s="100" t="s">
        <v>28</v>
      </c>
      <c r="B38" s="99">
        <f>55.33198+44.93049</f>
        <v>100.26247000000001</v>
      </c>
      <c r="C38" s="91">
        <v>39.9</v>
      </c>
      <c r="D38" s="91">
        <v>39.9</v>
      </c>
      <c r="E38" s="91">
        <f t="shared" si="1"/>
        <v>-60.362470000000009</v>
      </c>
      <c r="F38" s="91">
        <f>Таблица22462791012131457[[#This Row],[Столбец8]]/Таблица22462791012131457[[#This Row],[Столбец4]]*100-100</f>
        <v>-60.204451376472178</v>
      </c>
      <c r="G38" s="91">
        <f>Таблица22462791012131457[[#This Row],[Столбец4]]/$B$6*100</f>
        <v>0.10822747070665638</v>
      </c>
      <c r="H38" s="92">
        <f t="shared" si="0"/>
        <v>3.837128789044468E-2</v>
      </c>
    </row>
    <row r="39" spans="1:8" s="5" customFormat="1" ht="21" x14ac:dyDescent="0.2">
      <c r="A39" s="100" t="s">
        <v>29</v>
      </c>
      <c r="B39" s="99">
        <v>238.51113000000001</v>
      </c>
      <c r="C39" s="91">
        <v>261.7</v>
      </c>
      <c r="D39" s="91">
        <v>262.7</v>
      </c>
      <c r="E39" s="91">
        <f t="shared" si="1"/>
        <v>24.18886999999998</v>
      </c>
      <c r="F39" s="91">
        <f>Таблица22462791012131457[[#This Row],[Столбец8]]/Таблица22462791012131457[[#This Row],[Столбец4]]*100-100</f>
        <v>10.141610582281828</v>
      </c>
      <c r="G39" s="91">
        <f>Таблица22462791012131457[[#This Row],[Столбец4]]/$B$6*100</f>
        <v>0.25745881121107939</v>
      </c>
      <c r="H39" s="92">
        <f t="shared" si="0"/>
        <v>0.2526350207724265</v>
      </c>
    </row>
    <row r="40" spans="1:8" s="5" customFormat="1" ht="42" x14ac:dyDescent="0.2">
      <c r="A40" s="98" t="s">
        <v>30</v>
      </c>
      <c r="B40" s="86">
        <f>SUM(B41,B45,B46)</f>
        <v>2044.8452320000001</v>
      </c>
      <c r="C40" s="86">
        <f>SUM(C41,C45,C46)</f>
        <v>2180.3130000000001</v>
      </c>
      <c r="D40" s="86">
        <f>SUM(D41,D45,D46)</f>
        <v>2251.2599999999998</v>
      </c>
      <c r="E40" s="86">
        <f t="shared" si="1"/>
        <v>206.41476799999964</v>
      </c>
      <c r="F40" s="86">
        <f>Таблица22462791012131457[[#This Row],[Столбец8]]/Таблица22462791012131457[[#This Row],[Столбец4]]*100-100</f>
        <v>10.094395642750527</v>
      </c>
      <c r="G40" s="86">
        <f>Таблица22462791012131457[[#This Row],[Столбец4]]/$B$6*100</f>
        <v>2.2072907983009591</v>
      </c>
      <c r="H40" s="87">
        <f t="shared" si="0"/>
        <v>2.165006154793045</v>
      </c>
    </row>
    <row r="41" spans="1:8" s="5" customFormat="1" ht="21" x14ac:dyDescent="0.2">
      <c r="A41" s="100" t="s">
        <v>27</v>
      </c>
      <c r="B41" s="91">
        <f>B42+B43+B44</f>
        <v>1792.7095610000001</v>
      </c>
      <c r="C41" s="91">
        <f>C42+C43+C44</f>
        <v>1922.2510000000002</v>
      </c>
      <c r="D41" s="91">
        <f>D42+D43+D44</f>
        <v>1963.84</v>
      </c>
      <c r="E41" s="91">
        <f t="shared" si="1"/>
        <v>171.1304389999998</v>
      </c>
      <c r="F41" s="91">
        <f>Таблица22462791012131457[[#This Row],[Столбец8]]/Таблица22462791012131457[[#This Row],[Столбец4]]*100-100</f>
        <v>9.5459098742431365</v>
      </c>
      <c r="G41" s="91">
        <f>Таблица22462791012131457[[#This Row],[Столбец4]]/$B$6*100</f>
        <v>1.935125092157318</v>
      </c>
      <c r="H41" s="92">
        <f t="shared" si="0"/>
        <v>1.8885982458839818</v>
      </c>
    </row>
    <row r="42" spans="1:8" s="5" customFormat="1" ht="21" x14ac:dyDescent="0.2">
      <c r="A42" s="95" t="s">
        <v>33</v>
      </c>
      <c r="B42" s="99">
        <v>888.03150300000004</v>
      </c>
      <c r="C42" s="91">
        <v>905.7</v>
      </c>
      <c r="D42" s="91">
        <v>906.4</v>
      </c>
      <c r="E42" s="91">
        <f t="shared" si="1"/>
        <v>18.368496999999934</v>
      </c>
      <c r="F42" s="91">
        <f>Таблица22462791012131457[[#This Row],[Столбец8]]/Таблица22462791012131457[[#This Row],[Столбец4]]*100-100</f>
        <v>2.0684510558405265</v>
      </c>
      <c r="G42" s="91">
        <f>Таблица22462791012131457[[#This Row],[Столбец4]]/$B$6*100</f>
        <v>0.95857805495436665</v>
      </c>
      <c r="H42" s="92">
        <f t="shared" ref="H42:H69" si="3">D42/$D$6*100</f>
        <v>0.87167256501000157</v>
      </c>
    </row>
    <row r="43" spans="1:8" s="6" customFormat="1" ht="21" x14ac:dyDescent="0.2">
      <c r="A43" s="95" t="s">
        <v>34</v>
      </c>
      <c r="B43" s="99">
        <v>94.44</v>
      </c>
      <c r="C43" s="91">
        <v>86.9</v>
      </c>
      <c r="D43" s="99">
        <v>94.44</v>
      </c>
      <c r="E43" s="91">
        <f t="shared" si="1"/>
        <v>0</v>
      </c>
      <c r="F43" s="91">
        <f>Таблица22462791012131457[[#This Row],[Столбец8]]/Таблица22462791012131457[[#This Row],[Столбец4]]*100-100</f>
        <v>0</v>
      </c>
      <c r="G43" s="91">
        <f>Таблица22462791012131457[[#This Row],[Столбец4]]/$B$6*100</f>
        <v>0.10194245497379656</v>
      </c>
      <c r="H43" s="92">
        <f t="shared" si="3"/>
        <v>9.0821664871518687E-2</v>
      </c>
    </row>
    <row r="44" spans="1:8" s="5" customFormat="1" ht="21" x14ac:dyDescent="0.2">
      <c r="A44" s="95" t="s">
        <v>35</v>
      </c>
      <c r="B44" s="99">
        <f>558.174988+252.08307-0.02</f>
        <v>810.23805800000002</v>
      </c>
      <c r="C44" s="91">
        <f>783.692+95.959+50</f>
        <v>929.65100000000007</v>
      </c>
      <c r="D44" s="91">
        <f>137.1+785.9+40</f>
        <v>963</v>
      </c>
      <c r="E44" s="91">
        <f t="shared" ref="E44:E75" si="4">D44-B44</f>
        <v>152.76194199999998</v>
      </c>
      <c r="F44" s="91">
        <f>Таблица22462791012131457[[#This Row],[Столбец8]]/Таблица22462791012131457[[#This Row],[Столбец4]]*100-100</f>
        <v>18.853957857407863</v>
      </c>
      <c r="G44" s="91">
        <f>Таблица22462791012131457[[#This Row],[Столбец4]]/$B$6*100</f>
        <v>0.8746045822291546</v>
      </c>
      <c r="H44" s="92">
        <f t="shared" si="3"/>
        <v>0.92610401600246184</v>
      </c>
    </row>
    <row r="45" spans="1:8" s="5" customFormat="1" ht="21" x14ac:dyDescent="0.2">
      <c r="A45" s="100" t="s">
        <v>28</v>
      </c>
      <c r="B45" s="99">
        <f>22.77+9.68726</f>
        <v>32.457259999999998</v>
      </c>
      <c r="C45" s="91">
        <v>28.495000000000001</v>
      </c>
      <c r="D45" s="91">
        <v>45.12</v>
      </c>
      <c r="E45" s="91">
        <f t="shared" si="4"/>
        <v>12.662739999999999</v>
      </c>
      <c r="F45" s="91">
        <f>Таблица22462791012131457[[#This Row],[Столбец8]]/Таблица22462791012131457[[#This Row],[Столбец4]]*100-100</f>
        <v>39.013582785484658</v>
      </c>
      <c r="G45" s="91">
        <f>Таблица22462791012131457[[#This Row],[Столбец4]]/$B$6*100</f>
        <v>3.5035713321927231E-2</v>
      </c>
      <c r="H45" s="92">
        <f t="shared" si="3"/>
        <v>4.3391290967841202E-2</v>
      </c>
    </row>
    <row r="46" spans="1:8" s="5" customFormat="1" ht="21" x14ac:dyDescent="0.2">
      <c r="A46" s="100" t="s">
        <v>29</v>
      </c>
      <c r="B46" s="99">
        <f>0.685501+218.99291</f>
        <v>219.67841099999998</v>
      </c>
      <c r="C46" s="91">
        <v>229.56700000000001</v>
      </c>
      <c r="D46" s="91">
        <v>242.3</v>
      </c>
      <c r="E46" s="91">
        <f t="shared" si="4"/>
        <v>22.621589000000029</v>
      </c>
      <c r="F46" s="91">
        <f>Таблица22462791012131457[[#This Row],[Столбец8]]/Таблица22462791012131457[[#This Row],[Столбец4]]*100-100</f>
        <v>10.297593148559343</v>
      </c>
      <c r="G46" s="91">
        <f>Таблица22462791012131457[[#This Row],[Столбец4]]/$B$6*100</f>
        <v>0.23712999282171401</v>
      </c>
      <c r="H46" s="92">
        <f t="shared" si="3"/>
        <v>0.23301661794122175</v>
      </c>
    </row>
    <row r="47" spans="1:8" s="5" customFormat="1" ht="21" x14ac:dyDescent="0.2">
      <c r="A47" s="85" t="s">
        <v>31</v>
      </c>
      <c r="B47" s="86">
        <f>SUM(B54,B61,B68,B75)</f>
        <v>13164.208933999998</v>
      </c>
      <c r="C47" s="86">
        <f>SUM(C54,C61,C68,C75)</f>
        <v>13653.87125</v>
      </c>
      <c r="D47" s="86">
        <f>SUM(D54,D61,D68,D75)</f>
        <v>13914.54825</v>
      </c>
      <c r="E47" s="86">
        <f t="shared" si="4"/>
        <v>750.33931600000142</v>
      </c>
      <c r="F47" s="86">
        <f>Таблица22462791012131457[[#This Row],[Столбец8]]/Таблица22462791012131457[[#This Row],[Столбец4]]*100-100</f>
        <v>5.6998435664603875</v>
      </c>
      <c r="G47" s="86">
        <f>Таблица22462791012131457[[#This Row],[Столбец4]]/$B$6*100</f>
        <v>14.209993398135804</v>
      </c>
      <c r="H47" s="87">
        <f t="shared" si="3"/>
        <v>13.381431999153715</v>
      </c>
    </row>
    <row r="48" spans="1:8" s="5" customFormat="1" ht="21" x14ac:dyDescent="0.2">
      <c r="A48" s="100" t="s">
        <v>27</v>
      </c>
      <c r="B48" s="91">
        <f t="shared" ref="B48:D53" si="5">B55+B62+B69+B76</f>
        <v>10901.553900999999</v>
      </c>
      <c r="C48" s="91">
        <f t="shared" si="5"/>
        <v>11101.671249999999</v>
      </c>
      <c r="D48" s="91">
        <f t="shared" si="5"/>
        <v>11265.402249999999</v>
      </c>
      <c r="E48" s="91">
        <f t="shared" si="4"/>
        <v>363.84834899999987</v>
      </c>
      <c r="F48" s="91">
        <f>Таблица22462791012131457[[#This Row],[Столбец8]]/Таблица22462791012131457[[#This Row],[Столбец4]]*100-100</f>
        <v>3.3375824428719625</v>
      </c>
      <c r="G48" s="91">
        <f>Таблица22462791012131457[[#This Row],[Столбец4]]/$B$6*100</f>
        <v>11.767589662188783</v>
      </c>
      <c r="H48" s="92">
        <f t="shared" si="3"/>
        <v>10.833784284120632</v>
      </c>
    </row>
    <row r="49" spans="1:8" s="5" customFormat="1" ht="21" x14ac:dyDescent="0.2">
      <c r="A49" s="95" t="s">
        <v>33</v>
      </c>
      <c r="B49" s="96">
        <f t="shared" si="5"/>
        <v>4483.6791969999995</v>
      </c>
      <c r="C49" s="96">
        <f t="shared" si="5"/>
        <v>4498.5999999999995</v>
      </c>
      <c r="D49" s="96">
        <f t="shared" si="5"/>
        <v>4500.5999999999995</v>
      </c>
      <c r="E49" s="96">
        <f t="shared" si="4"/>
        <v>16.920802999999978</v>
      </c>
      <c r="F49" s="96">
        <f>Таблица22462791012131457[[#This Row],[Столбец8]]/Таблица22462791012131457[[#This Row],[Столбец4]]*100-100</f>
        <v>0.3773865670702321</v>
      </c>
      <c r="G49" s="96">
        <f>Таблица22462791012131457[[#This Row],[Столбец4]]/$B$6*100</f>
        <v>4.8398693843405418</v>
      </c>
      <c r="H49" s="97">
        <f t="shared" si="3"/>
        <v>4.3281658716725646</v>
      </c>
    </row>
    <row r="50" spans="1:8" s="5" customFormat="1" ht="21" x14ac:dyDescent="0.2">
      <c r="A50" s="95" t="s">
        <v>34</v>
      </c>
      <c r="B50" s="96">
        <f t="shared" si="5"/>
        <v>647.90800000000002</v>
      </c>
      <c r="C50" s="96">
        <f t="shared" si="5"/>
        <v>637.67700000000002</v>
      </c>
      <c r="D50" s="96">
        <f t="shared" si="5"/>
        <v>647.90800000000002</v>
      </c>
      <c r="E50" s="96">
        <f t="shared" si="4"/>
        <v>0</v>
      </c>
      <c r="F50" s="96">
        <f>Таблица22462791012131457[[#This Row],[Столбец8]]/Таблица22462791012131457[[#This Row],[Столбец4]]*100-100</f>
        <v>0</v>
      </c>
      <c r="G50" s="96">
        <f>Таблица22462791012131457[[#This Row],[Столбец4]]/$B$6*100</f>
        <v>0.69937878141849408</v>
      </c>
      <c r="H50" s="97">
        <f t="shared" si="3"/>
        <v>0.62308432066471764</v>
      </c>
    </row>
    <row r="51" spans="1:8" s="5" customFormat="1" ht="21" x14ac:dyDescent="0.2">
      <c r="A51" s="95" t="s">
        <v>35</v>
      </c>
      <c r="B51" s="96">
        <f t="shared" si="5"/>
        <v>5769.9667040000004</v>
      </c>
      <c r="C51" s="96">
        <f t="shared" si="5"/>
        <v>5965.3942500000003</v>
      </c>
      <c r="D51" s="96">
        <f t="shared" si="5"/>
        <v>6116.8942500000003</v>
      </c>
      <c r="E51" s="96">
        <f t="shared" si="4"/>
        <v>346.92754599999989</v>
      </c>
      <c r="F51" s="96">
        <f>Таблица22462791012131457[[#This Row],[Столбец8]]/Таблица22462791012131457[[#This Row],[Столбец4]]*100-100</f>
        <v>6.012643812302997</v>
      </c>
      <c r="G51" s="96">
        <f>Таблица22462791012131457[[#This Row],[Столбец4]]/$B$6*100</f>
        <v>6.2283414964297474</v>
      </c>
      <c r="H51" s="97">
        <f t="shared" si="3"/>
        <v>5.8825340917833513</v>
      </c>
    </row>
    <row r="52" spans="1:8" s="5" customFormat="1" ht="21" x14ac:dyDescent="0.2">
      <c r="A52" s="100" t="s">
        <v>28</v>
      </c>
      <c r="B52" s="91">
        <f t="shared" si="5"/>
        <v>749.15507700000001</v>
      </c>
      <c r="C52" s="91">
        <f t="shared" si="5"/>
        <v>1028.0999999999999</v>
      </c>
      <c r="D52" s="91">
        <f t="shared" si="5"/>
        <v>1084.646</v>
      </c>
      <c r="E52" s="91">
        <f t="shared" si="4"/>
        <v>335.49092299999995</v>
      </c>
      <c r="F52" s="91">
        <f>Таблица22462791012131457[[#This Row],[Столбец8]]/Таблица22462791012131457[[#This Row],[Столбец4]]*100-100</f>
        <v>44.782573501801153</v>
      </c>
      <c r="G52" s="91">
        <f>Таблица22462791012131457[[#This Row],[Столбец4]]/$B$6*100</f>
        <v>0.80866907777915709</v>
      </c>
      <c r="H52" s="92">
        <f t="shared" si="3"/>
        <v>1.0430893214340666</v>
      </c>
    </row>
    <row r="53" spans="1:8" s="5" customFormat="1" ht="21" x14ac:dyDescent="0.2">
      <c r="A53" s="100" t="s">
        <v>29</v>
      </c>
      <c r="B53" s="91">
        <f t="shared" si="5"/>
        <v>1513.4999559999999</v>
      </c>
      <c r="C53" s="91">
        <f t="shared" si="5"/>
        <v>1524.1</v>
      </c>
      <c r="D53" s="91">
        <f t="shared" si="5"/>
        <v>1564.4999999999998</v>
      </c>
      <c r="E53" s="91">
        <f t="shared" si="4"/>
        <v>51.000043999999889</v>
      </c>
      <c r="F53" s="91">
        <f>Таблица22462791012131457[[#This Row],[Столбец8]]/Таблица22462791012131457[[#This Row],[Столбец4]]*100-100</f>
        <v>3.3696759486393972</v>
      </c>
      <c r="G53" s="91">
        <f>Таблица22462791012131457[[#This Row],[Столбец4]]/$B$6*100</f>
        <v>1.6337346581678638</v>
      </c>
      <c r="H53" s="92">
        <f t="shared" si="3"/>
        <v>1.504558393599015</v>
      </c>
    </row>
    <row r="54" spans="1:8" s="5" customFormat="1" ht="39.75" customHeight="1" x14ac:dyDescent="0.2">
      <c r="A54" s="98" t="s">
        <v>2</v>
      </c>
      <c r="B54" s="86">
        <f>SUM(B55,B59,B60)</f>
        <v>5597.0678219999991</v>
      </c>
      <c r="C54" s="86">
        <f>SUM(C55,C59,C60)</f>
        <v>5818.7000000000007</v>
      </c>
      <c r="D54" s="86">
        <f>SUM(D55,D59,D60)</f>
        <v>5974.2</v>
      </c>
      <c r="E54" s="86">
        <f t="shared" si="4"/>
        <v>377.13217800000075</v>
      </c>
      <c r="F54" s="86">
        <f>Таблица22462791012131457[[#This Row],[Столбец8]]/Таблица22462791012131457[[#This Row],[Столбец4]]*100-100</f>
        <v>6.7380312333831966</v>
      </c>
      <c r="G54" s="86">
        <f>Таблица22462791012131457[[#This Row],[Столбец4]]/$B$6*100</f>
        <v>6.0417072684193194</v>
      </c>
      <c r="H54" s="87">
        <f t="shared" si="3"/>
        <v>5.7453069703031234</v>
      </c>
    </row>
    <row r="55" spans="1:8" s="5" customFormat="1" ht="21" x14ac:dyDescent="0.2">
      <c r="A55" s="100" t="s">
        <v>27</v>
      </c>
      <c r="B55" s="99">
        <f>B56+B57+B58</f>
        <v>4260.8466479999997</v>
      </c>
      <c r="C55" s="99">
        <f>C56+C57+C58</f>
        <v>4417.1000000000004</v>
      </c>
      <c r="D55" s="99">
        <f>D56+D57+D58</f>
        <v>4528.8329999999996</v>
      </c>
      <c r="E55" s="91">
        <f t="shared" si="4"/>
        <v>267.9863519999999</v>
      </c>
      <c r="F55" s="91">
        <f>Таблица22462791012131457[[#This Row],[Столбец8]]/Таблица22462791012131457[[#This Row],[Столбец4]]*100-100</f>
        <v>6.2895094364823052</v>
      </c>
      <c r="G55" s="91">
        <f>Таблица22462791012131457[[#This Row],[Столбец4]]/$B$6*100</f>
        <v>4.59933468407446</v>
      </c>
      <c r="H55" s="92">
        <f t="shared" si="3"/>
        <v>4.3553171641791035</v>
      </c>
    </row>
    <row r="56" spans="1:8" s="5" customFormat="1" ht="21" x14ac:dyDescent="0.2">
      <c r="A56" s="95" t="s">
        <v>33</v>
      </c>
      <c r="B56" s="99">
        <v>2927.4285989999998</v>
      </c>
      <c r="C56" s="96">
        <v>2942.4</v>
      </c>
      <c r="D56" s="96">
        <v>2942.4</v>
      </c>
      <c r="E56" s="96">
        <f t="shared" si="4"/>
        <v>14.971401000000242</v>
      </c>
      <c r="F56" s="96">
        <f>Таблица22462791012131457[[#This Row],[Столбец8]]/Таблица22462791012131457[[#This Row],[Столбец4]]*100-100</f>
        <v>0.51141814372908811</v>
      </c>
      <c r="G56" s="96">
        <f>Таблица22462791012131457[[#This Row],[Столбец4]]/$B$6*100</f>
        <v>3.1599879091757925</v>
      </c>
      <c r="H56" s="97">
        <f t="shared" si="3"/>
        <v>2.829666102477304</v>
      </c>
    </row>
    <row r="57" spans="1:8" s="5" customFormat="1" ht="21" x14ac:dyDescent="0.2">
      <c r="A57" s="95" t="s">
        <v>34</v>
      </c>
      <c r="B57" s="99">
        <v>325.63299999999998</v>
      </c>
      <c r="C57" s="96">
        <f>317.1</f>
        <v>317.10000000000002</v>
      </c>
      <c r="D57" s="99">
        <v>325.63299999999998</v>
      </c>
      <c r="E57" s="96">
        <f t="shared" si="4"/>
        <v>0</v>
      </c>
      <c r="F57" s="96">
        <f>Таблица22462791012131457[[#This Row],[Столбец8]]/Таблица22462791012131457[[#This Row],[Столбец4]]*100-100</f>
        <v>0</v>
      </c>
      <c r="G57" s="96">
        <f>Таблица22462791012131457[[#This Row],[Столбец4]]/$B$6*100</f>
        <v>0.35150177298265878</v>
      </c>
      <c r="H57" s="97">
        <f t="shared" si="3"/>
        <v>0.31315683182028003</v>
      </c>
    </row>
    <row r="58" spans="1:8" s="5" customFormat="1" ht="21" x14ac:dyDescent="0.2">
      <c r="A58" s="95" t="s">
        <v>35</v>
      </c>
      <c r="B58" s="93">
        <f>1006.885049+0.9</f>
        <v>1007.785049</v>
      </c>
      <c r="C58" s="96">
        <f>943.8+63.8+100+50</f>
        <v>1157.5999999999999</v>
      </c>
      <c r="D58" s="96">
        <f>1284.7-26+2.1</f>
        <v>1260.8</v>
      </c>
      <c r="E58" s="96">
        <f t="shared" si="4"/>
        <v>253.014951</v>
      </c>
      <c r="F58" s="96">
        <f>Таблица22462791012131457[[#This Row],[Столбец8]]/Таблица22462791012131457[[#This Row],[Столбец4]]*100-100</f>
        <v>25.106043322537914</v>
      </c>
      <c r="G58" s="96">
        <f>Таблица22462791012131457[[#This Row],[Столбец4]]/$B$6*100</f>
        <v>1.0878450019160086</v>
      </c>
      <c r="H58" s="97">
        <f t="shared" si="3"/>
        <v>1.2124942298815202</v>
      </c>
    </row>
    <row r="59" spans="1:8" s="5" customFormat="1" ht="21" x14ac:dyDescent="0.2">
      <c r="A59" s="100" t="s">
        <v>28</v>
      </c>
      <c r="B59" s="88">
        <f>230.667877+88.3223</f>
        <v>318.99017700000002</v>
      </c>
      <c r="C59" s="96">
        <v>383.6</v>
      </c>
      <c r="D59" s="96">
        <f>144.477+252.39</f>
        <v>396.86699999999996</v>
      </c>
      <c r="E59" s="96">
        <f t="shared" si="4"/>
        <v>77.876822999999945</v>
      </c>
      <c r="F59" s="91">
        <f>Таблица22462791012131457[[#This Row],[Столбец8]]/Таблица22462791012131457[[#This Row],[Столбец4]]*100-100</f>
        <v>24.413548947621649</v>
      </c>
      <c r="G59" s="91">
        <f>Таблица22462791012131457[[#This Row],[Столбец4]]/$B$6*100</f>
        <v>0.34433123417943556</v>
      </c>
      <c r="H59" s="92">
        <f t="shared" si="3"/>
        <v>0.38166160178488995</v>
      </c>
    </row>
    <row r="60" spans="1:8" s="5" customFormat="1" ht="21" x14ac:dyDescent="0.2">
      <c r="A60" s="100" t="s">
        <v>29</v>
      </c>
      <c r="B60" s="99">
        <v>1017.230997</v>
      </c>
      <c r="C60" s="91">
        <v>1018</v>
      </c>
      <c r="D60" s="91">
        <v>1048.5</v>
      </c>
      <c r="E60" s="91">
        <f t="shared" si="4"/>
        <v>31.269002999999998</v>
      </c>
      <c r="F60" s="91">
        <f>Таблица22462791012131457[[#This Row],[Столбец8]]/Таблица22462791012131457[[#This Row],[Столбец4]]*100-100</f>
        <v>3.0739333634364243</v>
      </c>
      <c r="G60" s="91">
        <f>Таблица22462791012131457[[#This Row],[Столбец4]]/$B$6*100</f>
        <v>1.0980413501654245</v>
      </c>
      <c r="H60" s="92">
        <f t="shared" si="3"/>
        <v>1.0083282043391291</v>
      </c>
    </row>
    <row r="61" spans="1:8" s="5" customFormat="1" ht="40.5" customHeight="1" x14ac:dyDescent="0.2">
      <c r="A61" s="98" t="s">
        <v>47</v>
      </c>
      <c r="B61" s="86">
        <f>SUM(B62,B66,B67)</f>
        <v>2350.3691039999994</v>
      </c>
      <c r="C61" s="86">
        <f>SUM(C62,C66,C67)</f>
        <v>2476.4</v>
      </c>
      <c r="D61" s="86">
        <f>SUM(D62,D66,D67)</f>
        <v>2514.8089999999997</v>
      </c>
      <c r="E61" s="86">
        <f t="shared" si="4"/>
        <v>164.43989600000032</v>
      </c>
      <c r="F61" s="86">
        <f>Таблица22462791012131457[[#This Row],[Столбец8]]/Таблица22462791012131457[[#This Row],[Столбец4]]*100-100</f>
        <v>6.9963434985656789</v>
      </c>
      <c r="G61" s="86">
        <f>Таблица22462791012131457[[#This Row],[Столбец4]]/$B$6*100</f>
        <v>2.5370859440525466</v>
      </c>
      <c r="H61" s="87">
        <f t="shared" si="3"/>
        <v>2.4184576473303583</v>
      </c>
    </row>
    <row r="62" spans="1:8" s="6" customFormat="1" ht="21" x14ac:dyDescent="0.2">
      <c r="A62" s="100" t="s">
        <v>27</v>
      </c>
      <c r="B62" s="99">
        <f>B63+B64+B65</f>
        <v>1788.1457369999998</v>
      </c>
      <c r="C62" s="91">
        <f>SUM(C63:C65)</f>
        <v>1808.2</v>
      </c>
      <c r="D62" s="91">
        <f>SUM(D63:D65)</f>
        <v>1833.2570000000001</v>
      </c>
      <c r="E62" s="91">
        <f t="shared" si="4"/>
        <v>45.111263000000235</v>
      </c>
      <c r="F62" s="91">
        <f>Таблица22462791012131457[[#This Row],[Столбец8]]/Таблица22462791012131457[[#This Row],[Столбец4]]*100-100</f>
        <v>2.5227956573430106</v>
      </c>
      <c r="G62" s="91">
        <f>Таблица22462791012131457[[#This Row],[Столбец4]]/$B$6*100</f>
        <v>1.9301987111468526</v>
      </c>
      <c r="H62" s="92">
        <f t="shared" si="3"/>
        <v>1.7630183489767657</v>
      </c>
    </row>
    <row r="63" spans="1:8" s="5" customFormat="1" ht="21" x14ac:dyDescent="0.2">
      <c r="A63" s="95" t="s">
        <v>33</v>
      </c>
      <c r="B63" s="99">
        <v>1282.9782889999999</v>
      </c>
      <c r="C63" s="91">
        <v>1283</v>
      </c>
      <c r="D63" s="91">
        <v>1283</v>
      </c>
      <c r="E63" s="91">
        <f t="shared" si="4"/>
        <v>2.1711000000095737E-2</v>
      </c>
      <c r="F63" s="91">
        <f>Таблица22462791012131457[[#This Row],[Столбец8]]/Таблица22462791012131457[[#This Row],[Столбец4]]*100-100</f>
        <v>1.6922344038334813E-3</v>
      </c>
      <c r="G63" s="91">
        <f>Таблица22462791012131457[[#This Row],[Столбец4]]/$B$6*100</f>
        <v>1.3849000048574867</v>
      </c>
      <c r="H63" s="92">
        <f t="shared" si="3"/>
        <v>1.2338436682566547</v>
      </c>
    </row>
    <row r="64" spans="1:8" s="5" customFormat="1" ht="21" x14ac:dyDescent="0.2">
      <c r="A64" s="95" t="s">
        <v>34</v>
      </c>
      <c r="B64" s="99">
        <v>41.057000000000002</v>
      </c>
      <c r="C64" s="91">
        <v>43.4</v>
      </c>
      <c r="D64" s="99">
        <v>41.057000000000002</v>
      </c>
      <c r="E64" s="91">
        <f t="shared" si="4"/>
        <v>0</v>
      </c>
      <c r="F64" s="91">
        <f>Таблица22462791012131457[[#This Row],[Столбец8]]/Таблица22462791012131457[[#This Row],[Столбец4]]*100-100</f>
        <v>0</v>
      </c>
      <c r="G64" s="91">
        <f>Таблица22462791012131457[[#This Row],[Столбец4]]/$B$6*100</f>
        <v>4.4318629541075447E-2</v>
      </c>
      <c r="H64" s="92">
        <f t="shared" si="3"/>
        <v>3.9483959070626254E-2</v>
      </c>
    </row>
    <row r="65" spans="1:8" s="5" customFormat="1" ht="21" x14ac:dyDescent="0.2">
      <c r="A65" s="95" t="s">
        <v>35</v>
      </c>
      <c r="B65" s="93">
        <v>464.11044800000002</v>
      </c>
      <c r="C65" s="96">
        <f>418.5+63.3</f>
        <v>481.8</v>
      </c>
      <c r="D65" s="96">
        <f>448.2+63.2-2.2</f>
        <v>509.2</v>
      </c>
      <c r="E65" s="96">
        <f t="shared" si="4"/>
        <v>45.089551999999969</v>
      </c>
      <c r="F65" s="96">
        <f>Таблица22462791012131457[[#This Row],[Столбец8]]/Таблица22462791012131457[[#This Row],[Столбец4]]*100-100</f>
        <v>9.715263294395811</v>
      </c>
      <c r="G65" s="96">
        <f>Таблица22462791012131457[[#This Row],[Столбец4]]/$B$6*100</f>
        <v>0.50098007674829048</v>
      </c>
      <c r="H65" s="97">
        <f t="shared" si="3"/>
        <v>0.48969072164948452</v>
      </c>
    </row>
    <row r="66" spans="1:8" s="5" customFormat="1" ht="21" x14ac:dyDescent="0.2">
      <c r="A66" s="100" t="s">
        <v>28</v>
      </c>
      <c r="B66" s="99">
        <f>18.0158+263.82587</f>
        <v>281.84167000000002</v>
      </c>
      <c r="C66" s="91">
        <v>379.1</v>
      </c>
      <c r="D66" s="91">
        <f>308.815+83.637</f>
        <v>392.452</v>
      </c>
      <c r="E66" s="91">
        <f t="shared" si="4"/>
        <v>110.61032999999998</v>
      </c>
      <c r="F66" s="91">
        <f>Таблица22462791012131457[[#This Row],[Столбец8]]/Таблица22462791012131457[[#This Row],[Столбец4]]*100-100</f>
        <v>39.245555847011559</v>
      </c>
      <c r="G66" s="91">
        <f>Таблица22462791012131457[[#This Row],[Столбец4]]/$B$6*100</f>
        <v>0.30423159417317486</v>
      </c>
      <c r="H66" s="92">
        <f t="shared" si="3"/>
        <v>0.37741575627019541</v>
      </c>
    </row>
    <row r="67" spans="1:8" s="5" customFormat="1" ht="21" x14ac:dyDescent="0.2">
      <c r="A67" s="100" t="s">
        <v>29</v>
      </c>
      <c r="B67" s="99">
        <v>280.38169699999997</v>
      </c>
      <c r="C67" s="91">
        <v>289.10000000000002</v>
      </c>
      <c r="D67" s="91">
        <v>289.10000000000002</v>
      </c>
      <c r="E67" s="91">
        <f t="shared" si="4"/>
        <v>8.7183030000000485</v>
      </c>
      <c r="F67" s="91">
        <f>Таблица22462791012131457[[#This Row],[Столбец8]]/Таблица22462791012131457[[#This Row],[Столбец4]]*100-100</f>
        <v>3.1094408419962036</v>
      </c>
      <c r="G67" s="91">
        <f>Таблица22462791012131457[[#This Row],[Столбец4]]/$B$6*100</f>
        <v>0.30265563873251977</v>
      </c>
      <c r="H67" s="92">
        <f t="shared" si="3"/>
        <v>0.27802354208339747</v>
      </c>
    </row>
    <row r="68" spans="1:8" s="5" customFormat="1" ht="21" x14ac:dyDescent="0.2">
      <c r="A68" s="98" t="s">
        <v>3</v>
      </c>
      <c r="B68" s="86">
        <f>SUM(B69,B73,B74)</f>
        <v>4174.3025230000003</v>
      </c>
      <c r="C68" s="86">
        <f>SUM(C69,C73,C74)</f>
        <v>4170.5942500000001</v>
      </c>
      <c r="D68" s="86">
        <f>SUM(D69,D73,D74)</f>
        <v>4198.5352499999999</v>
      </c>
      <c r="E68" s="86">
        <f t="shared" si="4"/>
        <v>24.232726999999613</v>
      </c>
      <c r="F68" s="86">
        <f>Таблица22462791012131457[[#This Row],[Столбец8]]/Таблица22462791012131457[[#This Row],[Столбец4]]*100-100</f>
        <v>0.58052158094628226</v>
      </c>
      <c r="G68" s="86">
        <f>Таблица22462791012131457[[#This Row],[Столбец4]]/$B$6*100</f>
        <v>4.5059153642305478</v>
      </c>
      <c r="H68" s="87">
        <f t="shared" si="3"/>
        <v>4.0376743056624091</v>
      </c>
    </row>
    <row r="69" spans="1:8" s="5" customFormat="1" ht="21" x14ac:dyDescent="0.2">
      <c r="A69" s="100" t="s">
        <v>27</v>
      </c>
      <c r="B69" s="99">
        <f>B70+B71+B72</f>
        <v>3997.7433059999998</v>
      </c>
      <c r="C69" s="99">
        <f>C70+C71+C72</f>
        <v>3993.69425</v>
      </c>
      <c r="D69" s="99">
        <f>D70+D71+D72</f>
        <v>4011.7352500000002</v>
      </c>
      <c r="E69" s="91">
        <f t="shared" si="4"/>
        <v>13.991944000000331</v>
      </c>
      <c r="F69" s="91">
        <f>Таблица22462791012131457[[#This Row],[Столбец8]]/Таблица22462791012131457[[#This Row],[Столбец4]]*100-100</f>
        <v>0.34999605850131843</v>
      </c>
      <c r="G69" s="91">
        <f>Таблица22462791012131457[[#This Row],[Столбец4]]/$B$6*100</f>
        <v>4.3153300187283099</v>
      </c>
      <c r="H69" s="92">
        <f t="shared" si="3"/>
        <v>3.8580312836590247</v>
      </c>
    </row>
    <row r="70" spans="1:8" s="5" customFormat="1" ht="21" x14ac:dyDescent="0.2">
      <c r="A70" s="95" t="s">
        <v>33</v>
      </c>
      <c r="B70" s="99">
        <v>76.008055999999996</v>
      </c>
      <c r="C70" s="91">
        <v>76</v>
      </c>
      <c r="D70" s="91">
        <v>76</v>
      </c>
      <c r="E70" s="91">
        <f t="shared" si="4"/>
        <v>-8.0559999999962884E-3</v>
      </c>
      <c r="F70" s="91">
        <f>Таблица22462791012131457[[#This Row],[Столбец8]]/Таблица22462791012131457[[#This Row],[Столбец4]]*100-100</f>
        <v>-1.0598876519082978E-2</v>
      </c>
      <c r="G70" s="91">
        <f>Таблица22462791012131457[[#This Row],[Столбец4]]/$B$6*100</f>
        <v>8.2046249750379149E-2</v>
      </c>
      <c r="H70" s="92">
        <f t="shared" ref="H70:H97" si="6">D70/$D$6*100</f>
        <v>7.308816741037083E-2</v>
      </c>
    </row>
    <row r="71" spans="1:8" s="5" customFormat="1" ht="21" x14ac:dyDescent="0.2">
      <c r="A71" s="95" t="s">
        <v>34</v>
      </c>
      <c r="B71" s="99">
        <v>24.041</v>
      </c>
      <c r="C71" s="91">
        <v>20</v>
      </c>
      <c r="D71" s="99">
        <v>24.041</v>
      </c>
      <c r="E71" s="91">
        <f t="shared" si="4"/>
        <v>0</v>
      </c>
      <c r="F71" s="91">
        <f>Таблица22462791012131457[[#This Row],[Столбец8]]/Таблица22462791012131457[[#This Row],[Столбец4]]*100-100</f>
        <v>0</v>
      </c>
      <c r="G71" s="91">
        <f>Таблица22462791012131457[[#This Row],[Столбец4]]/$B$6*100</f>
        <v>2.5950853028642983E-2</v>
      </c>
      <c r="H71" s="92">
        <f t="shared" si="6"/>
        <v>2.3119903062009541E-2</v>
      </c>
    </row>
    <row r="72" spans="1:8" s="5" customFormat="1" ht="21" x14ac:dyDescent="0.2">
      <c r="A72" s="95" t="s">
        <v>35</v>
      </c>
      <c r="B72" s="93">
        <f>3906.59425+0.1-9</f>
        <v>3897.69425</v>
      </c>
      <c r="C72" s="93">
        <f>3906.59425+0.1-9</f>
        <v>3897.69425</v>
      </c>
      <c r="D72" s="93">
        <f>3906.59425+0.1-9+14</f>
        <v>3911.69425</v>
      </c>
      <c r="E72" s="96">
        <f t="shared" si="4"/>
        <v>14</v>
      </c>
      <c r="F72" s="96">
        <f>Таблица22462791012131457[[#This Row],[Столбец8]]/Таблица22462791012131457[[#This Row],[Столбец4]]*100-100</f>
        <v>0.35918671660814994</v>
      </c>
      <c r="G72" s="96">
        <f>Таблица22462791012131457[[#This Row],[Столбец4]]/$B$6*100</f>
        <v>4.207332915949288</v>
      </c>
      <c r="H72" s="97">
        <f t="shared" si="6"/>
        <v>3.7618232131866445</v>
      </c>
    </row>
    <row r="73" spans="1:8" s="5" customFormat="1" ht="21" hidden="1" x14ac:dyDescent="0.2">
      <c r="A73" s="100" t="s">
        <v>28</v>
      </c>
      <c r="B73" s="99"/>
      <c r="C73" s="91"/>
      <c r="D73" s="91"/>
      <c r="E73" s="91">
        <f t="shared" si="4"/>
        <v>0</v>
      </c>
      <c r="F73" s="91" t="e">
        <f>Таблица22462791012131457[[#This Row],[Столбец8]]/Таблица22462791012131457[[#This Row],[Столбец4]]*100-100</f>
        <v>#DIV/0!</v>
      </c>
      <c r="G73" s="91">
        <f>Таблица22462791012131457[[#This Row],[Столбец4]]/$B$6*100</f>
        <v>0</v>
      </c>
      <c r="H73" s="92">
        <f t="shared" si="6"/>
        <v>0</v>
      </c>
    </row>
    <row r="74" spans="1:8" s="5" customFormat="1" ht="21" x14ac:dyDescent="0.2">
      <c r="A74" s="100" t="s">
        <v>29</v>
      </c>
      <c r="B74" s="99">
        <v>176.55921699999999</v>
      </c>
      <c r="C74" s="91">
        <v>176.9</v>
      </c>
      <c r="D74" s="91">
        <v>186.8</v>
      </c>
      <c r="E74" s="91">
        <f t="shared" si="4"/>
        <v>10.240783000000022</v>
      </c>
      <c r="F74" s="91">
        <f>Таблица22462791012131457[[#This Row],[Столбец8]]/Таблица22462791012131457[[#This Row],[Столбец4]]*100-100</f>
        <v>5.8001973354922569</v>
      </c>
      <c r="G74" s="91">
        <f>Таблица22462791012131457[[#This Row],[Столбец4]]/$B$6*100</f>
        <v>0.19058534550223713</v>
      </c>
      <c r="H74" s="92">
        <f t="shared" si="6"/>
        <v>0.17964302200338514</v>
      </c>
    </row>
    <row r="75" spans="1:8" s="5" customFormat="1" ht="36" customHeight="1" x14ac:dyDescent="0.2">
      <c r="A75" s="98" t="s">
        <v>10</v>
      </c>
      <c r="B75" s="86">
        <f>SUM(B76,B80,B81)</f>
        <v>1042.4694850000001</v>
      </c>
      <c r="C75" s="86">
        <f>SUM(C76,C80,C81)</f>
        <v>1188.1769999999999</v>
      </c>
      <c r="D75" s="86">
        <f>SUM(D76,D80,D81)</f>
        <v>1227.0039999999999</v>
      </c>
      <c r="E75" s="86">
        <f t="shared" si="4"/>
        <v>184.53451499999983</v>
      </c>
      <c r="F75" s="86">
        <f>Таблица22462791012131457[[#This Row],[Столбец8]]/Таблица22462791012131457[[#This Row],[Столбец4]]*100-100</f>
        <v>17.701670663290429</v>
      </c>
      <c r="G75" s="86">
        <f>Таблица22462791012131457[[#This Row],[Столбец4]]/$B$6*100</f>
        <v>1.1252848214333904</v>
      </c>
      <c r="H75" s="87">
        <f t="shared" si="6"/>
        <v>1.1799930758578241</v>
      </c>
    </row>
    <row r="76" spans="1:8" s="5" customFormat="1" ht="21" x14ac:dyDescent="0.2">
      <c r="A76" s="100" t="s">
        <v>27</v>
      </c>
      <c r="B76" s="99">
        <f>B77+B78+B79</f>
        <v>854.81821000000002</v>
      </c>
      <c r="C76" s="99">
        <f>C77+C78+C79</f>
        <v>882.67700000000002</v>
      </c>
      <c r="D76" s="99">
        <f>D77+D78+D79</f>
        <v>891.577</v>
      </c>
      <c r="E76" s="91">
        <f>D76-B76</f>
        <v>36.758789999999976</v>
      </c>
      <c r="F76" s="91">
        <f>Таблица22462791012131457[[#This Row],[Столбец8]]/Таблица22462791012131457[[#This Row],[Столбец4]]*100-100</f>
        <v>4.3001879896779514</v>
      </c>
      <c r="G76" s="91">
        <f>Таблица22462791012131457[[#This Row],[Столбец4]]/$B$6*100</f>
        <v>0.92272624823916105</v>
      </c>
      <c r="H76" s="92">
        <f t="shared" si="6"/>
        <v>0.85741748730573941</v>
      </c>
    </row>
    <row r="77" spans="1:8" s="5" customFormat="1" ht="21" x14ac:dyDescent="0.2">
      <c r="A77" s="95" t="s">
        <v>33</v>
      </c>
      <c r="B77" s="99">
        <v>197.264253</v>
      </c>
      <c r="C77" s="91">
        <v>197.2</v>
      </c>
      <c r="D77" s="91">
        <v>199.2</v>
      </c>
      <c r="E77" s="91">
        <f>D77-B77</f>
        <v>1.9357469999999921</v>
      </c>
      <c r="F77" s="91">
        <f>Таблица22462791012131457[[#This Row],[Столбец8]]/Таблица22462791012131457[[#This Row],[Столбец4]]*100-100</f>
        <v>0.98129639332069019</v>
      </c>
      <c r="G77" s="91">
        <f>Таблица22462791012131457[[#This Row],[Столбец4]]/$B$6*100</f>
        <v>0.21293522055688385</v>
      </c>
      <c r="H77" s="92">
        <f t="shared" si="6"/>
        <v>0.19156793352823509</v>
      </c>
    </row>
    <row r="78" spans="1:8" s="5" customFormat="1" ht="21" x14ac:dyDescent="0.2">
      <c r="A78" s="95" t="s">
        <v>34</v>
      </c>
      <c r="B78" s="99">
        <v>257.17700000000002</v>
      </c>
      <c r="C78" s="99">
        <v>257.17700000000002</v>
      </c>
      <c r="D78" s="99">
        <v>257.17700000000002</v>
      </c>
      <c r="E78" s="91">
        <f>D78-B78</f>
        <v>0</v>
      </c>
      <c r="F78" s="91">
        <f>Таблица22462791012131457[[#This Row],[Столбец8]]/Таблица22462791012131457[[#This Row],[Столбец4]]*100-100</f>
        <v>0</v>
      </c>
      <c r="G78" s="91">
        <f>Таблица22462791012131457[[#This Row],[Столбец4]]/$B$6*100</f>
        <v>0.27760752586611692</v>
      </c>
      <c r="H78" s="92">
        <f t="shared" si="6"/>
        <v>0.24732362671180183</v>
      </c>
    </row>
    <row r="79" spans="1:8" s="5" customFormat="1" ht="21" x14ac:dyDescent="0.2">
      <c r="A79" s="95" t="s">
        <v>35</v>
      </c>
      <c r="B79" s="93">
        <f>400.576957-0.2</f>
        <v>400.376957</v>
      </c>
      <c r="C79" s="96">
        <f>410.7+17.6</f>
        <v>428.3</v>
      </c>
      <c r="D79" s="96">
        <f>437.5+18.7-55.8+34.8</f>
        <v>435.2</v>
      </c>
      <c r="E79" s="96">
        <f>D79-B79</f>
        <v>34.823042999999984</v>
      </c>
      <c r="F79" s="96">
        <f>Таблица22462791012131457[[#This Row],[Столбец8]]/Таблица22462791012131457[[#This Row],[Столбец4]]*100-100</f>
        <v>8.6975642307007206</v>
      </c>
      <c r="G79" s="96">
        <f>Таблица22462791012131457[[#This Row],[Столбец4]]/$B$6*100</f>
        <v>0.43218350181616028</v>
      </c>
      <c r="H79" s="97">
        <f t="shared" si="6"/>
        <v>0.41852592706570241</v>
      </c>
    </row>
    <row r="80" spans="1:8" s="6" customFormat="1" ht="21" x14ac:dyDescent="0.2">
      <c r="A80" s="100" t="s">
        <v>28</v>
      </c>
      <c r="B80" s="99">
        <v>148.32323</v>
      </c>
      <c r="C80" s="91">
        <v>265.39999999999998</v>
      </c>
      <c r="D80" s="91">
        <f>295.327</f>
        <v>295.327</v>
      </c>
      <c r="E80" s="91">
        <f>D80-B80</f>
        <v>147.00377</v>
      </c>
      <c r="F80" s="91">
        <f>Таблица22462791012131457[[#This Row],[Столбец8]]/Таблица22462791012131457[[#This Row],[Столбец4]]*100-100</f>
        <v>99.110415812816399</v>
      </c>
      <c r="G80" s="91">
        <f>Таблица22462791012131457[[#This Row],[Столбец4]]/$B$6*100</f>
        <v>0.16010624942654669</v>
      </c>
      <c r="H80" s="92">
        <f t="shared" si="6"/>
        <v>0.28401196337898138</v>
      </c>
    </row>
    <row r="81" spans="1:8" s="5" customFormat="1" ht="21" x14ac:dyDescent="0.2">
      <c r="A81" s="100" t="s">
        <v>29</v>
      </c>
      <c r="B81" s="99">
        <v>39.328045000000003</v>
      </c>
      <c r="C81" s="91">
        <v>40.1</v>
      </c>
      <c r="D81" s="91">
        <v>40.1</v>
      </c>
      <c r="E81" s="91">
        <f t="shared" ref="E81:E136" si="7">D81-B81</f>
        <v>0.77195499999999839</v>
      </c>
      <c r="F81" s="91">
        <f>Таблица22462791012131457[[#This Row],[Столбец8]]/Таблица22462791012131457[[#This Row],[Столбец4]]*100-100</f>
        <v>1.9628613626738769</v>
      </c>
      <c r="G81" s="91">
        <f>Таблица22462791012131457[[#This Row],[Столбец4]]/$B$6*100</f>
        <v>4.2452323767682605E-2</v>
      </c>
      <c r="H81" s="92">
        <f t="shared" si="6"/>
        <v>3.8563625173103556E-2</v>
      </c>
    </row>
    <row r="82" spans="1:8" s="5" customFormat="1" ht="38.25" customHeight="1" x14ac:dyDescent="0.2">
      <c r="A82" s="98" t="s">
        <v>13</v>
      </c>
      <c r="B82" s="86">
        <f>SUM(B83,B87,B88)</f>
        <v>8381.6032360000008</v>
      </c>
      <c r="C82" s="86">
        <f>SUM(C83,C87,C88)</f>
        <v>9553.3415690000002</v>
      </c>
      <c r="D82" s="86">
        <f>SUM(D83,D87,D88)</f>
        <v>9743.2478310000006</v>
      </c>
      <c r="E82" s="86">
        <f t="shared" si="7"/>
        <v>1361.6445949999998</v>
      </c>
      <c r="F82" s="86">
        <f>Таблица22462791012131457[[#This Row],[Столбец8]]/Таблица22462791012131457[[#This Row],[Столбец4]]*100-100</f>
        <v>16.245634118679959</v>
      </c>
      <c r="G82" s="86">
        <f>Таблица22462791012131457[[#This Row],[Столбец4]]/$B$6*100</f>
        <v>9.0474503440719776</v>
      </c>
      <c r="H82" s="87">
        <f t="shared" si="6"/>
        <v>9.3699490604323756</v>
      </c>
    </row>
    <row r="83" spans="1:8" s="5" customFormat="1" ht="21" x14ac:dyDescent="0.2">
      <c r="A83" s="100" t="s">
        <v>27</v>
      </c>
      <c r="B83" s="91">
        <f t="shared" ref="B83:D84" si="8">B90+B97+B104+B111+B117+B124</f>
        <v>4223.3639850000009</v>
      </c>
      <c r="C83" s="91">
        <f t="shared" si="8"/>
        <v>4255.7794190000004</v>
      </c>
      <c r="D83" s="91">
        <f t="shared" si="8"/>
        <v>4274.3846810000005</v>
      </c>
      <c r="E83" s="91">
        <f t="shared" si="7"/>
        <v>51.020695999999589</v>
      </c>
      <c r="F83" s="91">
        <f>Таблица22462791012131457[[#This Row],[Столбец8]]/Таблица22462791012131457[[#This Row],[Столбец4]]*100-100</f>
        <v>1.2080582251780498</v>
      </c>
      <c r="G83" s="91">
        <f>Таблица22462791012131457[[#This Row],[Столбец4]]/$B$6*100</f>
        <v>4.558874342215339</v>
      </c>
      <c r="H83" s="92">
        <f t="shared" si="6"/>
        <v>4.1106176729112178</v>
      </c>
    </row>
    <row r="84" spans="1:8" s="5" customFormat="1" ht="21" x14ac:dyDescent="0.2">
      <c r="A84" s="95" t="s">
        <v>33</v>
      </c>
      <c r="B84" s="91">
        <f t="shared" si="8"/>
        <v>189.09364300000001</v>
      </c>
      <c r="C84" s="91">
        <f t="shared" si="8"/>
        <v>195.64558500000001</v>
      </c>
      <c r="D84" s="91">
        <f t="shared" si="8"/>
        <v>193.381135</v>
      </c>
      <c r="E84" s="91">
        <f t="shared" si="7"/>
        <v>4.2874919999999861</v>
      </c>
      <c r="F84" s="91">
        <f>Таблица22462791012131457[[#This Row],[Столбец8]]/Таблица22462791012131457[[#This Row],[Столбец4]]*100-100</f>
        <v>2.2673908715164828</v>
      </c>
      <c r="G84" s="91">
        <f>Таблица22462791012131457[[#This Row],[Столбец4]]/$B$6*100</f>
        <v>0.20411552506733019</v>
      </c>
      <c r="H84" s="92">
        <f t="shared" si="6"/>
        <v>0.18597201011694109</v>
      </c>
    </row>
    <row r="85" spans="1:8" s="5" customFormat="1" ht="21" x14ac:dyDescent="0.2">
      <c r="A85" s="95" t="s">
        <v>34</v>
      </c>
      <c r="B85" s="91">
        <f>B92+B99+B106+B113+B119</f>
        <v>2754.2490000000003</v>
      </c>
      <c r="C85" s="91">
        <f>C92+C99+C106+C113+C119</f>
        <v>2733.9</v>
      </c>
      <c r="D85" s="91">
        <f>D92+D99+D106+D113+D119</f>
        <v>2754.2490000000003</v>
      </c>
      <c r="E85" s="91">
        <f t="shared" si="7"/>
        <v>0</v>
      </c>
      <c r="F85" s="91">
        <f>Таблица22462791012131457[[#This Row],[Столбец8]]/Таблица22462791012131457[[#This Row],[Столбец4]]*100-100</f>
        <v>0</v>
      </c>
      <c r="G85" s="91">
        <f>Таблица22462791012131457[[#This Row],[Столбец4]]/$B$6*100</f>
        <v>2.9730506635866605</v>
      </c>
      <c r="H85" s="92">
        <f t="shared" si="6"/>
        <v>2.6487238421295585</v>
      </c>
    </row>
    <row r="86" spans="1:8" s="5" customFormat="1" ht="21" x14ac:dyDescent="0.2">
      <c r="A86" s="95" t="s">
        <v>35</v>
      </c>
      <c r="B86" s="96">
        <f>B93+B100+B107+B114+B120+B126+0.1</f>
        <v>1280.1213419999999</v>
      </c>
      <c r="C86" s="96">
        <f>C93+C100+C107+C114+C120+C126</f>
        <v>1326.2338340000003</v>
      </c>
      <c r="D86" s="96">
        <f>D93+D100+D107+D114+D120+D126</f>
        <v>1326.7545460000001</v>
      </c>
      <c r="E86" s="96">
        <f t="shared" si="7"/>
        <v>46.633204000000205</v>
      </c>
      <c r="F86" s="96">
        <f>Таблица22462791012131457[[#This Row],[Столбец8]]/Таблица22462791012131457[[#This Row],[Столбец4]]*100-100</f>
        <v>3.6428737237629889</v>
      </c>
      <c r="G86" s="96">
        <f>Таблица22462791012131457[[#This Row],[Столбец4]]/$B$6*100</f>
        <v>1.3818160977110443</v>
      </c>
      <c r="H86" s="97">
        <f t="shared" si="6"/>
        <v>1.2759218206647178</v>
      </c>
    </row>
    <row r="87" spans="1:8" s="5" customFormat="1" ht="21" x14ac:dyDescent="0.2">
      <c r="A87" s="100" t="s">
        <v>28</v>
      </c>
      <c r="B87" s="91">
        <f>B94+B101+B108+B121</f>
        <v>3995.7302959999997</v>
      </c>
      <c r="C87" s="91">
        <f>C94+C101+C108+C121</f>
        <v>5133.6000000000004</v>
      </c>
      <c r="D87" s="91">
        <f>D94+D101+D108+D121</f>
        <v>5294.2369999999992</v>
      </c>
      <c r="E87" s="91">
        <f t="shared" si="7"/>
        <v>1298.5067039999994</v>
      </c>
      <c r="F87" s="91">
        <f>Таблица22462791012131457[[#This Row],[Столбец8]]/Таблица22462791012131457[[#This Row],[Столбец4]]*100-100</f>
        <v>32.497356122856786</v>
      </c>
      <c r="G87" s="91">
        <f>Таблица22462791012131457[[#This Row],[Столбец4]]/$B$6*100</f>
        <v>4.3131570922004956</v>
      </c>
      <c r="H87" s="92">
        <f t="shared" si="6"/>
        <v>5.091395791660255</v>
      </c>
    </row>
    <row r="88" spans="1:8" s="5" customFormat="1" ht="21" x14ac:dyDescent="0.2">
      <c r="A88" s="100" t="s">
        <v>29</v>
      </c>
      <c r="B88" s="91">
        <f>B95+B102+B109+B115+B122+B127</f>
        <v>162.50895499999999</v>
      </c>
      <c r="C88" s="91">
        <f>C95+C102+C109+C115+C122+C127</f>
        <v>163.96215000000001</v>
      </c>
      <c r="D88" s="91">
        <f>D95+D102+D109+D115+D122+D127</f>
        <v>174.62615000000002</v>
      </c>
      <c r="E88" s="91">
        <f t="shared" si="7"/>
        <v>12.117195000000038</v>
      </c>
      <c r="F88" s="91">
        <f>Таблица22462791012131457[[#This Row],[Столбец8]]/Таблица22462791012131457[[#This Row],[Столбец4]]*100-100</f>
        <v>7.4563244837800227</v>
      </c>
      <c r="G88" s="91">
        <f>Таблица22462791012131457[[#This Row],[Столбец4]]/$B$6*100</f>
        <v>0.1754189096561439</v>
      </c>
      <c r="H88" s="92">
        <f t="shared" si="6"/>
        <v>0.1679355958609017</v>
      </c>
    </row>
    <row r="89" spans="1:8" s="6" customFormat="1" ht="42" x14ac:dyDescent="0.2">
      <c r="A89" s="98" t="s">
        <v>11</v>
      </c>
      <c r="B89" s="86">
        <f>SUM(B90,B94,B95)</f>
        <v>1275.9662990000002</v>
      </c>
      <c r="C89" s="86">
        <f>SUM(C90,C94,C95)</f>
        <v>1397.6014500000001</v>
      </c>
      <c r="D89" s="86">
        <f>SUM(D90,D94,D95)</f>
        <v>1431.827</v>
      </c>
      <c r="E89" s="86">
        <f t="shared" si="7"/>
        <v>155.86070099999984</v>
      </c>
      <c r="F89" s="86">
        <f>Таблица22462791012131457[[#This Row],[Столбец8]]/Таблица22462791012131457[[#This Row],[Столбец4]]*100-100</f>
        <v>12.215111098322183</v>
      </c>
      <c r="G89" s="86">
        <f>Таблица22462791012131457[[#This Row],[Столбец4]]/$B$6*100</f>
        <v>1.3773309718751519</v>
      </c>
      <c r="H89" s="87">
        <f t="shared" si="6"/>
        <v>1.3769685720880136</v>
      </c>
    </row>
    <row r="90" spans="1:8" s="5" customFormat="1" ht="21" x14ac:dyDescent="0.2">
      <c r="A90" s="100" t="s">
        <v>27</v>
      </c>
      <c r="B90" s="99">
        <f>B91+B92+B93</f>
        <v>769.87898900000005</v>
      </c>
      <c r="C90" s="99">
        <f>C91+C92+C93</f>
        <v>784.54145000000005</v>
      </c>
      <c r="D90" s="99">
        <f>D91+D92+D93</f>
        <v>789.99</v>
      </c>
      <c r="E90" s="91">
        <f t="shared" si="7"/>
        <v>20.111010999999962</v>
      </c>
      <c r="F90" s="91">
        <f>Таблица22462791012131457[[#This Row],[Столбец8]]/Таблица22462791012131457[[#This Row],[Столбец4]]*100-100</f>
        <v>2.6122301410150612</v>
      </c>
      <c r="G90" s="91">
        <f>Таблица22462791012131457[[#This Row],[Столбец4]]/$B$6*100</f>
        <v>0.83103932837150052</v>
      </c>
      <c r="H90" s="92">
        <f t="shared" si="6"/>
        <v>0.75972264963840597</v>
      </c>
    </row>
    <row r="91" spans="1:8" s="5" customFormat="1" ht="21" x14ac:dyDescent="0.2">
      <c r="A91" s="95" t="s">
        <v>33</v>
      </c>
      <c r="B91" s="99">
        <v>29.25845</v>
      </c>
      <c r="C91" s="99">
        <v>29.25845</v>
      </c>
      <c r="D91" s="99">
        <v>30.414000000000001</v>
      </c>
      <c r="E91" s="91">
        <f t="shared" si="7"/>
        <v>1.1555500000000016</v>
      </c>
      <c r="F91" s="91">
        <f>Таблица22462791012131457[[#This Row],[Столбец8]]/Таблица22462791012131457[[#This Row],[Столбец4]]*100-100</f>
        <v>3.9494573362567138</v>
      </c>
      <c r="G91" s="91">
        <f>Таблица22462791012131457[[#This Row],[Столбец4]]/$B$6*100</f>
        <v>3.1582785067006333E-2</v>
      </c>
      <c r="H91" s="92">
        <f t="shared" si="6"/>
        <v>2.9248730573934449E-2</v>
      </c>
    </row>
    <row r="92" spans="1:8" s="5" customFormat="1" ht="21" x14ac:dyDescent="0.2">
      <c r="A92" s="95" t="s">
        <v>34</v>
      </c>
      <c r="B92" s="99">
        <v>144.59299999999999</v>
      </c>
      <c r="C92" s="91">
        <v>140.30000000000001</v>
      </c>
      <c r="D92" s="99">
        <v>144.59299999999999</v>
      </c>
      <c r="E92" s="91">
        <f t="shared" si="7"/>
        <v>0</v>
      </c>
      <c r="F92" s="91">
        <f>Таблица22462791012131457[[#This Row],[Столбец8]]/Таблица22462791012131457[[#This Row],[Столбец4]]*100-100</f>
        <v>0</v>
      </c>
      <c r="G92" s="91">
        <f>Таблица22462791012131457[[#This Row],[Столбец4]]/$B$6*100</f>
        <v>0.15607968437130626</v>
      </c>
      <c r="H92" s="92">
        <f t="shared" si="6"/>
        <v>0.13905312355747035</v>
      </c>
    </row>
    <row r="93" spans="1:8" s="5" customFormat="1" ht="21" x14ac:dyDescent="0.2">
      <c r="A93" s="95" t="s">
        <v>35</v>
      </c>
      <c r="B93" s="93">
        <v>596.02753900000005</v>
      </c>
      <c r="C93" s="96">
        <f>614.297+0.686</f>
        <v>614.98300000000006</v>
      </c>
      <c r="D93" s="96">
        <f>614.297+0.686</f>
        <v>614.98300000000006</v>
      </c>
      <c r="E93" s="96">
        <f t="shared" si="7"/>
        <v>18.955461000000014</v>
      </c>
      <c r="F93" s="96">
        <f>Таблица22462791012131457[[#This Row],[Столбец8]]/Таблица22462791012131457[[#This Row],[Столбец4]]*100-100</f>
        <v>3.1802995263948759</v>
      </c>
      <c r="G93" s="96">
        <f>Таблица22462791012131457[[#This Row],[Столбец4]]/$B$6*100</f>
        <v>0.64337685893318808</v>
      </c>
      <c r="H93" s="97">
        <f t="shared" si="6"/>
        <v>0.59142079550700111</v>
      </c>
    </row>
    <row r="94" spans="1:8" s="5" customFormat="1" ht="21" x14ac:dyDescent="0.2">
      <c r="A94" s="100" t="s">
        <v>28</v>
      </c>
      <c r="B94" s="99">
        <f>61.07607+374.89165</f>
        <v>435.96772000000004</v>
      </c>
      <c r="C94" s="91">
        <v>542.5</v>
      </c>
      <c r="D94" s="91">
        <f>475.36+93.121</f>
        <v>568.48099999999999</v>
      </c>
      <c r="E94" s="91">
        <f t="shared" si="7"/>
        <v>132.51327999999995</v>
      </c>
      <c r="F94" s="91">
        <f>Таблица22462791012131457[[#This Row],[Столбец8]]/Таблица22462791012131457[[#This Row],[Столбец4]]*100-100</f>
        <v>30.395204488992874</v>
      </c>
      <c r="G94" s="91">
        <f>Таблица22462791012131457[[#This Row],[Столбец4]]/$B$6*100</f>
        <v>0.47060164830716594</v>
      </c>
      <c r="H94" s="92">
        <f t="shared" si="6"/>
        <v>0.54670045391598709</v>
      </c>
    </row>
    <row r="95" spans="1:8" s="5" customFormat="1" ht="21" x14ac:dyDescent="0.2">
      <c r="A95" s="100" t="s">
        <v>29</v>
      </c>
      <c r="B95" s="99">
        <v>70.119590000000002</v>
      </c>
      <c r="C95" s="91">
        <v>70.56</v>
      </c>
      <c r="D95" s="91">
        <v>73.355999999999995</v>
      </c>
      <c r="E95" s="91">
        <f t="shared" si="7"/>
        <v>3.2364099999999922</v>
      </c>
      <c r="F95" s="91">
        <f>Таблица22462791012131457[[#This Row],[Столбец8]]/Таблица22462791012131457[[#This Row],[Столбец4]]*100-100</f>
        <v>4.6155575068251125</v>
      </c>
      <c r="G95" s="91">
        <f>Таблица22462791012131457[[#This Row],[Столбец4]]/$B$6*100</f>
        <v>7.5689995196485338E-2</v>
      </c>
      <c r="H95" s="92">
        <f t="shared" si="6"/>
        <v>7.0545468533620551E-2</v>
      </c>
    </row>
    <row r="96" spans="1:8" s="5" customFormat="1" ht="21" x14ac:dyDescent="0.2">
      <c r="A96" s="98" t="s">
        <v>4</v>
      </c>
      <c r="B96" s="86">
        <f>SUM(B97,B101,B102)</f>
        <v>3832.9598770000002</v>
      </c>
      <c r="C96" s="86">
        <f>SUM(C97,C101,C102)</f>
        <v>4522</v>
      </c>
      <c r="D96" s="86">
        <f>SUM(D97,D101,D102)</f>
        <v>4531.5926680000002</v>
      </c>
      <c r="E96" s="86">
        <f t="shared" si="7"/>
        <v>698.632791</v>
      </c>
      <c r="F96" s="86">
        <f>Таблица22462791012131457[[#This Row],[Столбец8]]/Таблица22462791012131457[[#This Row],[Столбец4]]*100-100</f>
        <v>18.226978977583499</v>
      </c>
      <c r="G96" s="86">
        <f>Таблица22462791012131457[[#This Row],[Столбец4]]/$B$6*100</f>
        <v>4.1374559474527883</v>
      </c>
      <c r="H96" s="87">
        <f t="shared" si="6"/>
        <v>4.3579710993999079</v>
      </c>
    </row>
    <row r="97" spans="1:8" s="5" customFormat="1" ht="21" x14ac:dyDescent="0.2">
      <c r="A97" s="100" t="s">
        <v>27</v>
      </c>
      <c r="B97" s="99">
        <f>B98+B99+B100</f>
        <v>2189.7755970000003</v>
      </c>
      <c r="C97" s="99">
        <f>C98+C99+C100</f>
        <v>2186.5</v>
      </c>
      <c r="D97" s="99">
        <f>D98+D99+D100</f>
        <v>2192.3016680000001</v>
      </c>
      <c r="E97" s="91">
        <f t="shared" si="7"/>
        <v>2.5260709999997744</v>
      </c>
      <c r="F97" s="91">
        <f>Таблица22462791012131457[[#This Row],[Столбец8]]/Таблица22462791012131457[[#This Row],[Столбец4]]*100-100</f>
        <v>0.11535752811660416</v>
      </c>
      <c r="G97" s="91">
        <f>Таблица22462791012131457[[#This Row],[Столбец4]]/$B$6*100</f>
        <v>2.3637346484528905</v>
      </c>
      <c r="H97" s="92">
        <f t="shared" si="6"/>
        <v>2.1083067279581473</v>
      </c>
    </row>
    <row r="98" spans="1:8" s="5" customFormat="1" ht="21" x14ac:dyDescent="0.2">
      <c r="A98" s="95" t="s">
        <v>33</v>
      </c>
      <c r="B98" s="99">
        <v>8.9941250000000004</v>
      </c>
      <c r="C98" s="91">
        <v>9</v>
      </c>
      <c r="D98" s="91">
        <v>11.4</v>
      </c>
      <c r="E98" s="91">
        <f t="shared" si="7"/>
        <v>2.405875</v>
      </c>
      <c r="F98" s="91">
        <f>Таблица22462791012131457[[#This Row],[Столбец8]]/Таблица22462791012131457[[#This Row],[Столбец4]]*100-100</f>
        <v>26.749405862160017</v>
      </c>
      <c r="G98" s="91">
        <f>Таблица22462791012131457[[#This Row],[Столбец4]]/$B$6*100</f>
        <v>9.7086317539305158E-3</v>
      </c>
      <c r="H98" s="92">
        <f t="shared" ref="H98:H124" si="9">D98/$D$6*100</f>
        <v>1.0963225111555624E-2</v>
      </c>
    </row>
    <row r="99" spans="1:8" s="5" customFormat="1" ht="21" x14ac:dyDescent="0.2">
      <c r="A99" s="95" t="s">
        <v>34</v>
      </c>
      <c r="B99" s="99">
        <v>2175.86</v>
      </c>
      <c r="C99" s="91">
        <v>2173</v>
      </c>
      <c r="D99" s="99">
        <v>2175.86</v>
      </c>
      <c r="E99" s="91">
        <f t="shared" si="7"/>
        <v>0</v>
      </c>
      <c r="F99" s="91">
        <f>Таблица22462791012131457[[#This Row],[Столбец8]]/Таблица22462791012131457[[#This Row],[Столбец4]]*100-100</f>
        <v>0</v>
      </c>
      <c r="G99" s="91">
        <f>Таблица22462791012131457[[#This Row],[Столбец4]]/$B$6*100</f>
        <v>2.3487135755959865</v>
      </c>
      <c r="H99" s="92">
        <f t="shared" si="9"/>
        <v>2.092494999230651</v>
      </c>
    </row>
    <row r="100" spans="1:8" s="5" customFormat="1" ht="21" x14ac:dyDescent="0.2">
      <c r="A100" s="95" t="s">
        <v>35</v>
      </c>
      <c r="B100" s="93">
        <v>4.9214719999999996</v>
      </c>
      <c r="C100" s="96">
        <f>4+0.5</f>
        <v>4.5</v>
      </c>
      <c r="D100" s="96">
        <f>4.9+0.141668</f>
        <v>5.0416680000000005</v>
      </c>
      <c r="E100" s="96">
        <f t="shared" si="7"/>
        <v>0.12019600000000086</v>
      </c>
      <c r="F100" s="96">
        <f>Таблица22462791012131457[[#This Row],[Столбец8]]/Таблица22462791012131457[[#This Row],[Столбец4]]*100-100</f>
        <v>2.4422774324429781</v>
      </c>
      <c r="G100" s="96">
        <f>Таблица22462791012131457[[#This Row],[Столбец4]]/$B$6*100</f>
        <v>5.3124411029733211E-3</v>
      </c>
      <c r="H100" s="97">
        <f t="shared" si="9"/>
        <v>4.8485036159409151E-3</v>
      </c>
    </row>
    <row r="101" spans="1:8" s="5" customFormat="1" ht="21" x14ac:dyDescent="0.2">
      <c r="A101" s="100" t="s">
        <v>28</v>
      </c>
      <c r="B101" s="99">
        <f>907.775+730.64684</f>
        <v>1638.42184</v>
      </c>
      <c r="C101" s="91">
        <v>2330.6</v>
      </c>
      <c r="D101" s="91">
        <f>1044.588+1289.541</f>
        <v>2334.1289999999999</v>
      </c>
      <c r="E101" s="91">
        <f t="shared" si="7"/>
        <v>695.70715999999993</v>
      </c>
      <c r="F101" s="91">
        <f>Таблица22462791012131457[[#This Row],[Столбец8]]/Таблица22462791012131457[[#This Row],[Столбец4]]*100-100</f>
        <v>42.46202919267725</v>
      </c>
      <c r="G101" s="91">
        <f>Таблица22462791012131457[[#This Row],[Столбец4]]/$B$6*100</f>
        <v>1.7685805236370704</v>
      </c>
      <c r="H101" s="92">
        <f t="shared" si="9"/>
        <v>2.244700146176335</v>
      </c>
    </row>
    <row r="102" spans="1:8" s="5" customFormat="1" ht="21" x14ac:dyDescent="0.2">
      <c r="A102" s="100" t="s">
        <v>29</v>
      </c>
      <c r="B102" s="99">
        <v>4.7624399999999998</v>
      </c>
      <c r="C102" s="91">
        <v>4.9000000000000004</v>
      </c>
      <c r="D102" s="91">
        <v>5.1619999999999999</v>
      </c>
      <c r="E102" s="91">
        <f t="shared" si="7"/>
        <v>0.39956000000000014</v>
      </c>
      <c r="F102" s="91">
        <f>Таблица22462791012131457[[#This Row],[Столбец8]]/Таблица22462791012131457[[#This Row],[Столбец4]]*100-100</f>
        <v>8.3898169845709276</v>
      </c>
      <c r="G102" s="91">
        <f>Таблица22462791012131457[[#This Row],[Столбец4]]/$B$6*100</f>
        <v>5.1407753628272728E-3</v>
      </c>
      <c r="H102" s="92">
        <f t="shared" si="9"/>
        <v>4.9642252654254499E-3</v>
      </c>
    </row>
    <row r="103" spans="1:8" s="5" customFormat="1" ht="33" customHeight="1" x14ac:dyDescent="0.2">
      <c r="A103" s="98" t="s">
        <v>5</v>
      </c>
      <c r="B103" s="86">
        <f>SUM(B104,B108,B109)</f>
        <v>741.19259199999999</v>
      </c>
      <c r="C103" s="86">
        <f>SUM(C104,C108,C109)</f>
        <v>978.82193500000005</v>
      </c>
      <c r="D103" s="86">
        <f>SUM(D104,D108,D109)</f>
        <v>1002.5119349999999</v>
      </c>
      <c r="E103" s="86">
        <f t="shared" si="7"/>
        <v>261.31934299999989</v>
      </c>
      <c r="F103" s="86">
        <f>Таблица22462791012131457[[#This Row],[Столбец8]]/Таблица22462791012131457[[#This Row],[Столбец4]]*100-100</f>
        <v>35.256604804274673</v>
      </c>
      <c r="G103" s="86">
        <f>Таблица22462791012131457[[#This Row],[Столбец4]]/$B$6*100</f>
        <v>0.80007404105116009</v>
      </c>
      <c r="H103" s="87">
        <f t="shared" si="9"/>
        <v>0.96410210705493138</v>
      </c>
    </row>
    <row r="104" spans="1:8" s="5" customFormat="1" ht="21" x14ac:dyDescent="0.2">
      <c r="A104" s="100" t="s">
        <v>27</v>
      </c>
      <c r="B104" s="99">
        <f>B105+B106+B107</f>
        <v>222.085443</v>
      </c>
      <c r="C104" s="99">
        <f>C105+C106+C107</f>
        <v>227.02193499999998</v>
      </c>
      <c r="D104" s="99">
        <f>D105+D106+D107</f>
        <v>228.92193499999999</v>
      </c>
      <c r="E104" s="91">
        <f t="shared" si="7"/>
        <v>6.8364919999999927</v>
      </c>
      <c r="F104" s="91">
        <f>Таблица22462791012131457[[#This Row],[Столбец8]]/Таблица22462791012131457[[#This Row],[Столбец4]]*100-100</f>
        <v>3.0783161235831074</v>
      </c>
      <c r="G104" s="91">
        <f>Таблица22462791012131457[[#This Row],[Столбец4]]/$B$6*100</f>
        <v>0.23972824304704746</v>
      </c>
      <c r="H104" s="92">
        <f t="shared" si="9"/>
        <v>0.22015111459455303</v>
      </c>
    </row>
    <row r="105" spans="1:8" s="5" customFormat="1" ht="21" x14ac:dyDescent="0.2">
      <c r="A105" s="95" t="s">
        <v>33</v>
      </c>
      <c r="B105" s="99">
        <v>63.963507999999997</v>
      </c>
      <c r="C105" s="91">
        <v>70.8</v>
      </c>
      <c r="D105" s="91">
        <v>70.8</v>
      </c>
      <c r="E105" s="91">
        <f t="shared" si="7"/>
        <v>6.8364919999999998</v>
      </c>
      <c r="F105" s="91">
        <f>Таблица22462791012131457[[#This Row],[Столбец8]]/Таблица22462791012131457[[#This Row],[Столбец4]]*100-100</f>
        <v>10.688112978418872</v>
      </c>
      <c r="G105" s="91">
        <f>Таблица22462791012131457[[#This Row],[Столбец4]]/$B$6*100</f>
        <v>6.9044864826938543E-2</v>
      </c>
      <c r="H105" s="92">
        <f t="shared" si="9"/>
        <v>6.8087398061240187E-2</v>
      </c>
    </row>
    <row r="106" spans="1:8" s="5" customFormat="1" ht="21" x14ac:dyDescent="0.2">
      <c r="A106" s="95" t="s">
        <v>34</v>
      </c>
      <c r="B106" s="99">
        <v>17.899999999999999</v>
      </c>
      <c r="C106" s="91">
        <v>16</v>
      </c>
      <c r="D106" s="99">
        <v>17.899999999999999</v>
      </c>
      <c r="E106" s="91">
        <f t="shared" si="7"/>
        <v>0</v>
      </c>
      <c r="F106" s="91">
        <f>Таблица22462791012131457[[#This Row],[Столбец8]]/Таблица22462791012131457[[#This Row],[Столбец4]]*100-100</f>
        <v>0</v>
      </c>
      <c r="G106" s="91">
        <f>Таблица22462791012131457[[#This Row],[Столбец4]]/$B$6*100</f>
        <v>1.9322002795753475E-2</v>
      </c>
      <c r="H106" s="92">
        <f t="shared" si="9"/>
        <v>1.7214186797968916E-2</v>
      </c>
    </row>
    <row r="107" spans="1:8" s="5" customFormat="1" ht="21" x14ac:dyDescent="0.2">
      <c r="A107" s="95" t="s">
        <v>35</v>
      </c>
      <c r="B107" s="93">
        <v>140.221935</v>
      </c>
      <c r="C107" s="96">
        <v>140.221935</v>
      </c>
      <c r="D107" s="96">
        <v>140.221935</v>
      </c>
      <c r="E107" s="96">
        <f t="shared" si="7"/>
        <v>0</v>
      </c>
      <c r="F107" s="96">
        <f>Таблица22462791012131457[[#This Row],[Столбец8]]/Таблица22462791012131457[[#This Row],[Столбец4]]*100-100</f>
        <v>0</v>
      </c>
      <c r="G107" s="96">
        <f>Таблица22462791012131457[[#This Row],[Столбец4]]/$B$6*100</f>
        <v>0.15136137542435543</v>
      </c>
      <c r="H107" s="97">
        <f t="shared" si="9"/>
        <v>0.13484952973534392</v>
      </c>
    </row>
    <row r="108" spans="1:8" s="5" customFormat="1" ht="21" x14ac:dyDescent="0.2">
      <c r="A108" s="100" t="s">
        <v>28</v>
      </c>
      <c r="B108" s="99">
        <f>329.96865+162.72278</f>
        <v>492.69143000000003</v>
      </c>
      <c r="C108" s="91">
        <v>725.1</v>
      </c>
      <c r="D108" s="91">
        <f>232.91+512.236</f>
        <v>745.14599999999996</v>
      </c>
      <c r="E108" s="91">
        <f t="shared" si="7"/>
        <v>252.45456999999993</v>
      </c>
      <c r="F108" s="91">
        <f>Таблица22462791012131457[[#This Row],[Столбец8]]/Таблица22462791012131457[[#This Row],[Столбец4]]*100-100</f>
        <v>51.239894714628974</v>
      </c>
      <c r="G108" s="91">
        <f>Таблица22462791012131457[[#This Row],[Столбец4]]/$B$6*100</f>
        <v>0.53183157474322784</v>
      </c>
      <c r="H108" s="92">
        <f t="shared" si="9"/>
        <v>0.71659678412063388</v>
      </c>
    </row>
    <row r="109" spans="1:8" s="5" customFormat="1" ht="21" x14ac:dyDescent="0.2">
      <c r="A109" s="100" t="s">
        <v>29</v>
      </c>
      <c r="B109" s="99">
        <v>26.415718999999999</v>
      </c>
      <c r="C109" s="91">
        <v>26.7</v>
      </c>
      <c r="D109" s="91">
        <v>28.443999999999999</v>
      </c>
      <c r="E109" s="91">
        <f t="shared" si="7"/>
        <v>2.0282809999999998</v>
      </c>
      <c r="F109" s="91">
        <f>Таблица22462791012131457[[#This Row],[Столбец8]]/Таблица22462791012131457[[#This Row],[Столбец4]]*100-100</f>
        <v>7.6783107815464007</v>
      </c>
      <c r="G109" s="91">
        <f>Таблица22462791012131457[[#This Row],[Столбец4]]/$B$6*100</f>
        <v>2.8514223260884819E-2</v>
      </c>
      <c r="H109" s="92">
        <f t="shared" si="9"/>
        <v>2.7354208339744574E-2</v>
      </c>
    </row>
    <row r="110" spans="1:8" s="5" customFormat="1" ht="21" x14ac:dyDescent="0.2">
      <c r="A110" s="98" t="s">
        <v>6</v>
      </c>
      <c r="B110" s="86">
        <f>SUM(B111,B115)</f>
        <v>193.345247</v>
      </c>
      <c r="C110" s="86">
        <f>SUM(C111,C115)</f>
        <v>191.6</v>
      </c>
      <c r="D110" s="86">
        <f>SUM(D111,D115)</f>
        <v>187.255044</v>
      </c>
      <c r="E110" s="86">
        <f t="shared" si="7"/>
        <v>-6.0902030000000025</v>
      </c>
      <c r="F110" s="86">
        <f>Таблица22462791012131457[[#This Row],[Столбец8]]/Таблица22462791012131457[[#This Row],[Столбец4]]*100-100</f>
        <v>-3.1499108948874266</v>
      </c>
      <c r="G110" s="86">
        <f>Таблица22462791012131457[[#This Row],[Столбец4]]/$B$6*100</f>
        <v>0.20870488285361152</v>
      </c>
      <c r="H110" s="87">
        <f t="shared" si="9"/>
        <v>0.18008063163563623</v>
      </c>
    </row>
    <row r="111" spans="1:8" s="5" customFormat="1" ht="21" x14ac:dyDescent="0.2">
      <c r="A111" s="100" t="s">
        <v>27</v>
      </c>
      <c r="B111" s="99">
        <f>B112+B113+B114</f>
        <v>190.33478400000001</v>
      </c>
      <c r="C111" s="99">
        <f>C112+C113+C114</f>
        <v>188.6</v>
      </c>
      <c r="D111" s="99">
        <f>D112+D113+D114</f>
        <v>184.255044</v>
      </c>
      <c r="E111" s="91">
        <f t="shared" si="7"/>
        <v>-6.0797400000000152</v>
      </c>
      <c r="F111" s="91">
        <f>Таблица22462791012131457[[#This Row],[Столбец8]]/Таблица22462791012131457[[#This Row],[Столбец4]]*100-100</f>
        <v>-3.1942348488440331</v>
      </c>
      <c r="G111" s="91">
        <f>Таблица22462791012131457[[#This Row],[Столбец4]]/$B$6*100</f>
        <v>0.20545526416632037</v>
      </c>
      <c r="H111" s="92">
        <f t="shared" si="9"/>
        <v>0.1771955723957532</v>
      </c>
    </row>
    <row r="112" spans="1:8" s="5" customFormat="1" ht="21" x14ac:dyDescent="0.2">
      <c r="A112" s="95" t="s">
        <v>33</v>
      </c>
      <c r="B112" s="99">
        <v>36.859740000000002</v>
      </c>
      <c r="C112" s="91">
        <v>36.9</v>
      </c>
      <c r="D112" s="91">
        <v>30.78</v>
      </c>
      <c r="E112" s="91">
        <f t="shared" si="7"/>
        <v>-6.079740000000001</v>
      </c>
      <c r="F112" s="91">
        <f>Таблица22462791012131457[[#This Row],[Столбец8]]/Таблица22462791012131457[[#This Row],[Столбец4]]*100-100</f>
        <v>-16.494256334960582</v>
      </c>
      <c r="G112" s="91">
        <f>Таблица22462791012131457[[#This Row],[Столбец4]]/$B$6*100</f>
        <v>3.9787932923505381E-2</v>
      </c>
      <c r="H112" s="92">
        <f t="shared" si="9"/>
        <v>2.9600707801200186E-2</v>
      </c>
    </row>
    <row r="113" spans="1:8" s="5" customFormat="1" ht="21" x14ac:dyDescent="0.2">
      <c r="A113" s="95" t="s">
        <v>34</v>
      </c>
      <c r="B113" s="99">
        <v>73.396000000000001</v>
      </c>
      <c r="C113" s="91">
        <v>71.599999999999994</v>
      </c>
      <c r="D113" s="99">
        <v>73.396000000000001</v>
      </c>
      <c r="E113" s="91">
        <f t="shared" si="7"/>
        <v>0</v>
      </c>
      <c r="F113" s="91">
        <f>Таблица22462791012131457[[#This Row],[Столбец8]]/Таблица22462791012131457[[#This Row],[Столбец4]]*100-100</f>
        <v>0</v>
      </c>
      <c r="G113" s="91">
        <f>Таблица22462791012131457[[#This Row],[Столбец4]]/$B$6*100</f>
        <v>7.9226688111571075E-2</v>
      </c>
      <c r="H113" s="92">
        <f t="shared" si="9"/>
        <v>7.0583935990152336E-2</v>
      </c>
    </row>
    <row r="114" spans="1:8" s="5" customFormat="1" ht="21" x14ac:dyDescent="0.2">
      <c r="A114" s="95" t="s">
        <v>35</v>
      </c>
      <c r="B114" s="93">
        <v>80.079043999999996</v>
      </c>
      <c r="C114" s="96">
        <v>80.099999999999994</v>
      </c>
      <c r="D114" s="96">
        <v>80.079043999999996</v>
      </c>
      <c r="E114" s="96">
        <f t="shared" si="7"/>
        <v>0</v>
      </c>
      <c r="F114" s="96">
        <f>Таблица22462791012131457[[#This Row],[Столбец8]]/Таблица22462791012131457[[#This Row],[Столбец4]]*100-100</f>
        <v>0</v>
      </c>
      <c r="G114" s="96">
        <f>Таблица22462791012131457[[#This Row],[Столбец4]]/$B$6*100</f>
        <v>8.6440643131243888E-2</v>
      </c>
      <c r="H114" s="97">
        <f t="shared" si="9"/>
        <v>7.7010928604400675E-2</v>
      </c>
    </row>
    <row r="115" spans="1:8" s="5" customFormat="1" ht="21" x14ac:dyDescent="0.2">
      <c r="A115" s="100" t="s">
        <v>29</v>
      </c>
      <c r="B115" s="99">
        <v>3.0104630000000001</v>
      </c>
      <c r="C115" s="91">
        <v>3</v>
      </c>
      <c r="D115" s="91">
        <v>3</v>
      </c>
      <c r="E115" s="91">
        <f t="shared" si="7"/>
        <v>-1.0463000000000111E-2</v>
      </c>
      <c r="F115" s="91">
        <f>Таблица22462791012131457[[#This Row],[Столбец8]]/Таблица22462791012131457[[#This Row],[Столбец4]]*100-100</f>
        <v>-0.34755451237900559</v>
      </c>
      <c r="G115" s="91">
        <f>Таблица22462791012131457[[#This Row],[Столбец4]]/$B$6*100</f>
        <v>3.2496186872911954E-3</v>
      </c>
      <c r="H115" s="92">
        <f t="shared" si="9"/>
        <v>2.8850592398830589E-3</v>
      </c>
    </row>
    <row r="116" spans="1:8" s="5" customFormat="1" ht="21" x14ac:dyDescent="0.2">
      <c r="A116" s="98" t="s">
        <v>14</v>
      </c>
      <c r="B116" s="86">
        <f>SUM(B117,B121,B122)</f>
        <v>2259.5400370000002</v>
      </c>
      <c r="C116" s="86">
        <f>SUM(C117,C121,C122)</f>
        <v>2370.7190000000001</v>
      </c>
      <c r="D116" s="86">
        <f>SUM(D117,D121,D122)</f>
        <v>2497.462</v>
      </c>
      <c r="E116" s="86">
        <f t="shared" si="7"/>
        <v>237.92196299999978</v>
      </c>
      <c r="F116" s="86">
        <f>Таблица22462791012131457[[#This Row],[Столбец8]]/Таблица22462791012131457[[#This Row],[Столбец4]]*100-100</f>
        <v>10.529663520186602</v>
      </c>
      <c r="G116" s="86">
        <f>Таблица22462791012131457[[#This Row],[Столбец4]]/$B$6*100</f>
        <v>2.4390412800017276</v>
      </c>
      <c r="H116" s="87">
        <f t="shared" si="9"/>
        <v>2.4017752731189415</v>
      </c>
    </row>
    <row r="117" spans="1:8" s="5" customFormat="1" ht="21" x14ac:dyDescent="0.2">
      <c r="A117" s="100" t="s">
        <v>27</v>
      </c>
      <c r="B117" s="99">
        <f>B118+B119+B120</f>
        <v>776.47313800000006</v>
      </c>
      <c r="C117" s="99">
        <f>C118+C119+C120</f>
        <v>780.30000000000007</v>
      </c>
      <c r="D117" s="99">
        <f>D118+D119+D120</f>
        <v>790.10000000000014</v>
      </c>
      <c r="E117" s="91">
        <f t="shared" si="7"/>
        <v>13.626862000000074</v>
      </c>
      <c r="F117" s="91">
        <f>Таблица22462791012131457[[#This Row],[Столбец8]]/Таблица22462791012131457[[#This Row],[Столбец4]]*100-100</f>
        <v>1.7549688885696071</v>
      </c>
      <c r="G117" s="91">
        <f>Таблица22462791012131457[[#This Row],[Столбец4]]/$B$6*100</f>
        <v>0.83815732643930041</v>
      </c>
      <c r="H117" s="92">
        <f t="shared" si="9"/>
        <v>0.75982843514386844</v>
      </c>
    </row>
    <row r="118" spans="1:8" s="5" customFormat="1" ht="21" x14ac:dyDescent="0.2">
      <c r="A118" s="95" t="s">
        <v>33</v>
      </c>
      <c r="B118" s="99">
        <v>38.530684999999998</v>
      </c>
      <c r="C118" s="91">
        <v>38.200000000000003</v>
      </c>
      <c r="D118" s="91">
        <v>38.5</v>
      </c>
      <c r="E118" s="91">
        <f t="shared" si="7"/>
        <v>-3.0684999999998297E-2</v>
      </c>
      <c r="F118" s="91">
        <f>Таблица22462791012131457[[#This Row],[Столбец8]]/Таблица22462791012131457[[#This Row],[Столбец4]]*100-100</f>
        <v>-7.9637826319455485E-2</v>
      </c>
      <c r="G118" s="91">
        <f>Таблица22462791012131457[[#This Row],[Столбец4]]/$B$6*100</f>
        <v>4.1591620295659021E-2</v>
      </c>
      <c r="H118" s="92">
        <f t="shared" si="9"/>
        <v>3.7024926911832588E-2</v>
      </c>
    </row>
    <row r="119" spans="1:8" s="5" customFormat="1" ht="21" x14ac:dyDescent="0.2">
      <c r="A119" s="95" t="s">
        <v>34</v>
      </c>
      <c r="B119" s="99">
        <v>342.5</v>
      </c>
      <c r="C119" s="91">
        <v>333</v>
      </c>
      <c r="D119" s="91">
        <v>342.5</v>
      </c>
      <c r="E119" s="91">
        <f t="shared" si="7"/>
        <v>0</v>
      </c>
      <c r="F119" s="91">
        <f>Таблица22462791012131457[[#This Row],[Столбец8]]/Таблица22462791012131457[[#This Row],[Столбец4]]*100-100</f>
        <v>0</v>
      </c>
      <c r="G119" s="91">
        <f>Таблица22462791012131457[[#This Row],[Столбец4]]/$B$6*100</f>
        <v>0.36970871271204281</v>
      </c>
      <c r="H119" s="92">
        <f t="shared" si="9"/>
        <v>0.32937759655331589</v>
      </c>
    </row>
    <row r="120" spans="1:8" s="5" customFormat="1" ht="21" x14ac:dyDescent="0.2">
      <c r="A120" s="95" t="s">
        <v>35</v>
      </c>
      <c r="B120" s="93">
        <v>395.442453</v>
      </c>
      <c r="C120" s="96">
        <v>409.10000000000008</v>
      </c>
      <c r="D120" s="96">
        <v>409.10000000000008</v>
      </c>
      <c r="E120" s="96">
        <f>D120-B120</f>
        <v>13.657547000000079</v>
      </c>
      <c r="F120" s="96">
        <f>Таблица22462791012131457[[#This Row],[Столбец8]]/Таблица22462791012131457[[#This Row],[Столбец4]]*100-100</f>
        <v>3.4537381852625941</v>
      </c>
      <c r="G120" s="96">
        <f>Таблица22462791012131457[[#This Row],[Столбец4]]/$B$6*100</f>
        <v>0.42685699343159844</v>
      </c>
      <c r="H120" s="97">
        <f t="shared" si="9"/>
        <v>0.39342591167871988</v>
      </c>
    </row>
    <row r="121" spans="1:8" s="5" customFormat="1" ht="21" x14ac:dyDescent="0.2">
      <c r="A121" s="100" t="s">
        <v>28</v>
      </c>
      <c r="B121" s="99">
        <v>1428.649306</v>
      </c>
      <c r="C121" s="91">
        <v>1535.4</v>
      </c>
      <c r="D121" s="91">
        <v>1646.481</v>
      </c>
      <c r="E121" s="91">
        <f t="shared" si="7"/>
        <v>217.83169399999997</v>
      </c>
      <c r="F121" s="91">
        <f>Таблица22462791012131457[[#This Row],[Столбец8]]/Таблица22462791012131457[[#This Row],[Столбец4]]*100-100</f>
        <v>15.247387380874827</v>
      </c>
      <c r="G121" s="91">
        <f>Таблица22462791012131457[[#This Row],[Столбец4]]/$B$6*100</f>
        <v>1.5421433455130316</v>
      </c>
      <c r="H121" s="92">
        <f t="shared" si="9"/>
        <v>1.5833984074472995</v>
      </c>
    </row>
    <row r="122" spans="1:8" s="5" customFormat="1" ht="21" x14ac:dyDescent="0.2">
      <c r="A122" s="100" t="s">
        <v>29</v>
      </c>
      <c r="B122" s="99">
        <v>54.417592999999997</v>
      </c>
      <c r="C122" s="91">
        <v>55.018999999999998</v>
      </c>
      <c r="D122" s="91">
        <v>60.881</v>
      </c>
      <c r="E122" s="91">
        <f t="shared" si="7"/>
        <v>6.4634070000000037</v>
      </c>
      <c r="F122" s="91">
        <f>Таблица22462791012131457[[#This Row],[Столбец8]]/Таблица22462791012131457[[#This Row],[Столбец4]]*100-100</f>
        <v>11.877421700735653</v>
      </c>
      <c r="G122" s="91">
        <f>Таблица22462791012131457[[#This Row],[Столбец4]]/$B$6*100</f>
        <v>5.8740608049395238E-2</v>
      </c>
      <c r="H122" s="92">
        <f t="shared" si="9"/>
        <v>5.8548430527773497E-2</v>
      </c>
    </row>
    <row r="123" spans="1:8" s="5" customFormat="1" ht="42" x14ac:dyDescent="0.2">
      <c r="A123" s="98" t="s">
        <v>7</v>
      </c>
      <c r="B123" s="86">
        <f>SUM(B124,B127)</f>
        <v>78.599184000000008</v>
      </c>
      <c r="C123" s="86">
        <f>SUM(C124,C127)</f>
        <v>92.599184000000008</v>
      </c>
      <c r="D123" s="86">
        <f>SUM(D124,D127)</f>
        <v>92.599184000000008</v>
      </c>
      <c r="E123" s="86">
        <f t="shared" si="7"/>
        <v>14</v>
      </c>
      <c r="F123" s="86">
        <f>Таблица22462791012131457[[#This Row],[Столбец8]]/Таблица22462791012131457[[#This Row],[Столбец4]]*100-100</f>
        <v>17.811889751934331</v>
      </c>
      <c r="G123" s="86">
        <f>Таблица22462791012131457[[#This Row],[Столбец4]]/$B$6*100</f>
        <v>8.4843220837538674E-2</v>
      </c>
      <c r="H123" s="87">
        <f t="shared" si="9"/>
        <v>8.9051377134943849E-2</v>
      </c>
    </row>
    <row r="124" spans="1:8" s="5" customFormat="1" ht="21" x14ac:dyDescent="0.2">
      <c r="A124" s="100" t="s">
        <v>27</v>
      </c>
      <c r="B124" s="99">
        <f>B125+B126</f>
        <v>74.816034000000002</v>
      </c>
      <c r="C124" s="99">
        <f>C125+C126</f>
        <v>88.816034000000002</v>
      </c>
      <c r="D124" s="99">
        <f>D125+D126</f>
        <v>88.816034000000002</v>
      </c>
      <c r="E124" s="91">
        <f t="shared" si="7"/>
        <v>14</v>
      </c>
      <c r="F124" s="91">
        <f>Таблица22462791012131457[[#This Row],[Столбец8]]/Таблица22462791012131457[[#This Row],[Столбец4]]*100-100</f>
        <v>18.712566346406433</v>
      </c>
      <c r="G124" s="91">
        <f>Таблица22462791012131457[[#This Row],[Столбец4]]/$B$6*100</f>
        <v>8.0759531738278628E-2</v>
      </c>
      <c r="H124" s="92">
        <f t="shared" si="9"/>
        <v>8.5413173180489313E-2</v>
      </c>
    </row>
    <row r="125" spans="1:8" s="5" customFormat="1" ht="21" x14ac:dyDescent="0.2">
      <c r="A125" s="95" t="s">
        <v>33</v>
      </c>
      <c r="B125" s="99">
        <v>11.487135</v>
      </c>
      <c r="C125" s="99">
        <v>11.487135</v>
      </c>
      <c r="D125" s="99">
        <v>11.487135</v>
      </c>
      <c r="E125" s="91">
        <f t="shared" si="7"/>
        <v>0</v>
      </c>
      <c r="F125" s="91">
        <f>Таблица22462791012131457[[#This Row],[Столбец8]]/Таблица22462791012131457[[#This Row],[Столбец4]]*100-100</f>
        <v>0</v>
      </c>
      <c r="G125" s="91">
        <f>Таблица22462791012131457[[#This Row],[Столбец4]]/$B$6*100</f>
        <v>1.2399690200290371E-2</v>
      </c>
      <c r="H125" s="92">
        <f t="shared" ref="H125:H135" si="10">D125/$D$6*100</f>
        <v>1.1047021657178028E-2</v>
      </c>
    </row>
    <row r="126" spans="1:8" s="5" customFormat="1" ht="21" x14ac:dyDescent="0.2">
      <c r="A126" s="95" t="s">
        <v>35</v>
      </c>
      <c r="B126" s="93">
        <v>63.328899</v>
      </c>
      <c r="C126" s="93">
        <f>63.328899+14</f>
        <v>77.328899000000007</v>
      </c>
      <c r="D126" s="93">
        <f>63.328899+14</f>
        <v>77.328899000000007</v>
      </c>
      <c r="E126" s="96">
        <f t="shared" si="7"/>
        <v>14.000000000000007</v>
      </c>
      <c r="F126" s="96">
        <f>Таблица22462791012131457[[#This Row],[Столбец8]]/Таблица22462791012131457[[#This Row],[Столбец4]]*100-100</f>
        <v>22.106810983718518</v>
      </c>
      <c r="G126" s="96">
        <f>Таблица22462791012131457[[#This Row],[Столбец4]]/$B$6*100</f>
        <v>6.8359841537988242E-2</v>
      </c>
      <c r="H126" s="97">
        <f t="shared" si="10"/>
        <v>7.4366151523311289E-2</v>
      </c>
    </row>
    <row r="127" spans="1:8" s="5" customFormat="1" ht="21" x14ac:dyDescent="0.2">
      <c r="A127" s="100" t="s">
        <v>29</v>
      </c>
      <c r="B127" s="99">
        <v>3.78315</v>
      </c>
      <c r="C127" s="99">
        <v>3.78315</v>
      </c>
      <c r="D127" s="99">
        <v>3.78315</v>
      </c>
      <c r="E127" s="91">
        <f t="shared" si="7"/>
        <v>0</v>
      </c>
      <c r="F127" s="91">
        <f>Таблица22462791012131457[[#This Row],[Столбец8]]/Таблица22462791012131457[[#This Row],[Столбец4]]*100-100</f>
        <v>0</v>
      </c>
      <c r="G127" s="91">
        <f>Таблица22462791012131457[[#This Row],[Столбец4]]/$B$6*100</f>
        <v>4.0836890992600426E-3</v>
      </c>
      <c r="H127" s="92">
        <f t="shared" si="10"/>
        <v>3.6382039544545315E-3</v>
      </c>
    </row>
    <row r="128" spans="1:8" s="5" customFormat="1" ht="21" x14ac:dyDescent="0.2">
      <c r="A128" s="98" t="s">
        <v>43</v>
      </c>
      <c r="B128" s="86">
        <f>SUM(B129,)</f>
        <v>3088</v>
      </c>
      <c r="C128" s="86">
        <f>SUM(C129)</f>
        <v>3775.7</v>
      </c>
      <c r="D128" s="86">
        <f>SUM(D129)</f>
        <v>3735.7</v>
      </c>
      <c r="E128" s="86">
        <f t="shared" si="7"/>
        <v>647.69999999999982</v>
      </c>
      <c r="F128" s="86">
        <f>Таблица22462791012131457[[#This Row],[Столбец8]]/Таблица22462791012131457[[#This Row],[Столбец4]]*100-100</f>
        <v>20.97474093264249</v>
      </c>
      <c r="G128" s="86">
        <f>Таблица22462791012131457[[#This Row],[Столбец4]]/$B$6*100</f>
        <v>3.333315342641717</v>
      </c>
      <c r="H128" s="87">
        <f t="shared" si="10"/>
        <v>3.5925719341437143</v>
      </c>
    </row>
    <row r="129" spans="1:8" s="5" customFormat="1" ht="21" x14ac:dyDescent="0.2">
      <c r="A129" s="100" t="s">
        <v>27</v>
      </c>
      <c r="B129" s="99">
        <v>3088</v>
      </c>
      <c r="C129" s="91">
        <f>3644.6+30+102.1-22+21</f>
        <v>3775.7</v>
      </c>
      <c r="D129" s="91">
        <f>3644.6+30+102.1-22+21-40</f>
        <v>3735.7</v>
      </c>
      <c r="E129" s="91">
        <f t="shared" si="7"/>
        <v>647.69999999999982</v>
      </c>
      <c r="F129" s="91">
        <f>Таблица22462791012131457[[#This Row],[Столбец8]]/Таблица22462791012131457[[#This Row],[Столбец4]]*100-100</f>
        <v>20.97474093264249</v>
      </c>
      <c r="G129" s="91">
        <f>Таблица22462791012131457[[#This Row],[Столбец4]]/$B$6*100</f>
        <v>3.333315342641717</v>
      </c>
      <c r="H129" s="92">
        <f t="shared" si="10"/>
        <v>3.5925719341437143</v>
      </c>
    </row>
    <row r="130" spans="1:8" s="5" customFormat="1" ht="21" x14ac:dyDescent="0.2">
      <c r="A130" s="90" t="s">
        <v>44</v>
      </c>
      <c r="B130" s="99">
        <v>5</v>
      </c>
      <c r="C130" s="91">
        <v>5</v>
      </c>
      <c r="D130" s="91">
        <v>5</v>
      </c>
      <c r="E130" s="91">
        <f t="shared" si="7"/>
        <v>0</v>
      </c>
      <c r="F130" s="91" t="s">
        <v>16</v>
      </c>
      <c r="G130" s="91">
        <f>Таблица22462791012131457[[#This Row],[Столбец4]]/$B$6*100</f>
        <v>5.3972074848473396E-3</v>
      </c>
      <c r="H130" s="92">
        <f t="shared" si="10"/>
        <v>4.8084320664717652E-3</v>
      </c>
    </row>
    <row r="131" spans="1:8" s="5" customFormat="1" ht="21" x14ac:dyDescent="0.2">
      <c r="A131" s="101" t="s">
        <v>38</v>
      </c>
      <c r="B131" s="93">
        <v>1045</v>
      </c>
      <c r="C131" s="96">
        <f>1086.958+200</f>
        <v>1286.9580000000001</v>
      </c>
      <c r="D131" s="96">
        <f>1086.958+200</f>
        <v>1286.9580000000001</v>
      </c>
      <c r="E131" s="96">
        <f t="shared" si="7"/>
        <v>241.95800000000008</v>
      </c>
      <c r="F131" s="96">
        <f>Таблица22462791012131457[[#This Row],[Столбец8]]/Таблица22462791012131457[[#This Row],[Столбец4]]*100-100</f>
        <v>23.153875598086131</v>
      </c>
      <c r="G131" s="96">
        <f>Таблица22462791012131457[[#This Row],[Столбец4]]/$B$6*100</f>
        <v>1.128016364333094</v>
      </c>
      <c r="H131" s="97">
        <f t="shared" si="10"/>
        <v>1.2376500230804741</v>
      </c>
    </row>
    <row r="132" spans="1:8" s="5" customFormat="1" ht="21" x14ac:dyDescent="0.2">
      <c r="A132" s="101" t="s">
        <v>39</v>
      </c>
      <c r="B132" s="96">
        <v>153.79</v>
      </c>
      <c r="C132" s="96">
        <v>168</v>
      </c>
      <c r="D132" s="96">
        <v>168</v>
      </c>
      <c r="E132" s="96">
        <f t="shared" si="7"/>
        <v>14.210000000000008</v>
      </c>
      <c r="F132" s="96">
        <f>Таблица22462791012131457[[#This Row],[Столбец8]]/Таблица22462791012131457[[#This Row],[Столбец4]]*100-100</f>
        <v>9.2398725534820159</v>
      </c>
      <c r="G132" s="96">
        <f>Таблица22462791012131457[[#This Row],[Столбец4]]/$B$6*100</f>
        <v>0.16600730781893447</v>
      </c>
      <c r="H132" s="97">
        <f t="shared" si="10"/>
        <v>0.16156331743345129</v>
      </c>
    </row>
    <row r="133" spans="1:8" s="5" customFormat="1" ht="21" x14ac:dyDescent="0.2">
      <c r="A133" s="101" t="s">
        <v>8</v>
      </c>
      <c r="B133" s="96">
        <f>B134+B135</f>
        <v>901.13</v>
      </c>
      <c r="C133" s="96">
        <f>C134+C135</f>
        <v>1168.961</v>
      </c>
      <c r="D133" s="96">
        <f>D134+D135</f>
        <v>1169.761</v>
      </c>
      <c r="E133" s="96">
        <f t="shared" si="7"/>
        <v>268.63099999999997</v>
      </c>
      <c r="F133" s="96">
        <f>Таблица22462791012131457[[#This Row],[Столбец8]]/Таблица22462791012131457[[#This Row],[Столбец4]]*100-100</f>
        <v>29.810460199971146</v>
      </c>
      <c r="G133" s="96">
        <f>Таблица22462791012131457[[#This Row],[Столбец4]]/$B$6*100</f>
        <v>0.97271711616409673</v>
      </c>
      <c r="H133" s="97">
        <f t="shared" si="10"/>
        <v>1.1249432605016156</v>
      </c>
    </row>
    <row r="134" spans="1:8" s="5" customFormat="1" ht="21" x14ac:dyDescent="0.2">
      <c r="A134" s="101" t="s">
        <v>41</v>
      </c>
      <c r="B134" s="96">
        <v>40.03</v>
      </c>
      <c r="C134" s="96">
        <v>109</v>
      </c>
      <c r="D134" s="96">
        <v>109.8</v>
      </c>
      <c r="E134" s="96">
        <f t="shared" si="7"/>
        <v>69.77</v>
      </c>
      <c r="F134" s="96">
        <f>Таблица22462791012131457[[#This Row],[Столбец8]]/Таблица22462791012131457[[#This Row],[Столбец4]]*100-100</f>
        <v>174.29427929053207</v>
      </c>
      <c r="G134" s="96">
        <f>Таблица22462791012131457[[#This Row],[Столбец4]]/$B$6*100</f>
        <v>4.3210043123687807E-2</v>
      </c>
      <c r="H134" s="97">
        <f t="shared" si="10"/>
        <v>0.10559316817971996</v>
      </c>
    </row>
    <row r="135" spans="1:8" s="5" customFormat="1" ht="21" x14ac:dyDescent="0.2">
      <c r="A135" s="101" t="s">
        <v>40</v>
      </c>
      <c r="B135" s="96">
        <v>861.1</v>
      </c>
      <c r="C135" s="96">
        <v>1059.961</v>
      </c>
      <c r="D135" s="96">
        <v>1059.961</v>
      </c>
      <c r="E135" s="96">
        <f t="shared" si="7"/>
        <v>198.86099999999999</v>
      </c>
      <c r="F135" s="96">
        <f>Таблица22462791012131457[[#This Row],[Столбец8]]/Таблица22462791012131457[[#This Row],[Столбец4]]*100-100</f>
        <v>23.093833468818943</v>
      </c>
      <c r="G135" s="96">
        <f>Таблица22462791012131457[[#This Row],[Столбец4]]/$B$6*100</f>
        <v>0.92950707304040892</v>
      </c>
      <c r="H135" s="97">
        <f t="shared" si="10"/>
        <v>1.0193500923218957</v>
      </c>
    </row>
    <row r="136" spans="1:8" s="7" customFormat="1" ht="21" x14ac:dyDescent="0.2">
      <c r="A136" s="102" t="s">
        <v>42</v>
      </c>
      <c r="B136" s="103">
        <f>B12-B24</f>
        <v>-463.16144299999723</v>
      </c>
      <c r="C136" s="103">
        <f>C12-C24</f>
        <v>-372.30766899999799</v>
      </c>
      <c r="D136" s="103">
        <f>D12-D24</f>
        <v>-519.02693100000033</v>
      </c>
      <c r="E136" s="103">
        <f t="shared" si="7"/>
        <v>-55.865488000003097</v>
      </c>
      <c r="F136" s="103">
        <f>Таблица22462791012131457[[#This Row],[Столбец8]]/Таблица22462791012131457[[#This Row],[Столбец4]]*100-100</f>
        <v>12.06177432174627</v>
      </c>
      <c r="G136" s="103">
        <f>Таблица22462791012131457[[#This Row],[Столбец4]]/$B$6*100</f>
        <v>-0.49995568137045593</v>
      </c>
      <c r="H136" s="104">
        <f>D136/$D$6*100</f>
        <v>-0.49914114767656592</v>
      </c>
    </row>
    <row r="137" spans="1:8" ht="22.5" hidden="1" x14ac:dyDescent="0.2">
      <c r="A137" s="67"/>
      <c r="B137" s="68"/>
      <c r="C137" s="69"/>
      <c r="D137" s="69">
        <f>D6*0.5%</f>
        <v>519.91999999999996</v>
      </c>
      <c r="E137" s="70"/>
      <c r="F137" s="71"/>
      <c r="G137" s="72"/>
      <c r="H137" s="73"/>
    </row>
    <row r="138" spans="1:8" ht="42" hidden="1" x14ac:dyDescent="0.2">
      <c r="A138" s="39" t="s">
        <v>67</v>
      </c>
      <c r="B138" s="47">
        <f>B136-B140-B142</f>
        <v>-1104.1614429999972</v>
      </c>
      <c r="C138" s="47">
        <f>C136-C140-C142</f>
        <v>-1576.7076689999981</v>
      </c>
      <c r="D138" s="47">
        <f>D136-D140-D142</f>
        <v>-1723.4269310000004</v>
      </c>
      <c r="E138" s="47">
        <f>D138-B138</f>
        <v>-619.26548800000319</v>
      </c>
      <c r="F138" s="40"/>
      <c r="G138" s="40"/>
      <c r="H138" s="40"/>
    </row>
    <row r="139" spans="1:8" ht="13.5" hidden="1" customHeight="1" x14ac:dyDescent="0.2">
      <c r="B139" s="48"/>
      <c r="C139" s="49"/>
      <c r="D139" s="50"/>
      <c r="E139" s="51"/>
      <c r="F139" s="2"/>
      <c r="G139" s="2"/>
    </row>
    <row r="140" spans="1:8" ht="18.95" hidden="1" customHeight="1" x14ac:dyDescent="0.2">
      <c r="A140" s="41" t="s">
        <v>68</v>
      </c>
      <c r="B140" s="52">
        <v>442</v>
      </c>
      <c r="C140" s="53">
        <v>884</v>
      </c>
      <c r="D140" s="53">
        <v>884</v>
      </c>
      <c r="E140" s="47">
        <f>D140-B140</f>
        <v>442</v>
      </c>
      <c r="F140" s="40"/>
      <c r="G140" s="40"/>
      <c r="H140" s="40"/>
    </row>
    <row r="141" spans="1:8" ht="13.5" hidden="1" customHeight="1" x14ac:dyDescent="0.2">
      <c r="A141" s="42"/>
      <c r="B141" s="54"/>
      <c r="C141" s="55"/>
      <c r="D141" s="54"/>
      <c r="E141" s="56"/>
      <c r="F141" s="2"/>
      <c r="G141" s="2"/>
    </row>
    <row r="142" spans="1:8" ht="22.5" hidden="1" x14ac:dyDescent="0.2">
      <c r="A142" s="41" t="s">
        <v>69</v>
      </c>
      <c r="B142" s="52">
        <v>199</v>
      </c>
      <c r="C142" s="52">
        <v>320.39999999999998</v>
      </c>
      <c r="D142" s="52">
        <v>320.39999999999998</v>
      </c>
      <c r="E142" s="47">
        <f>D142-B142</f>
        <v>121.39999999999998</v>
      </c>
      <c r="F142" s="40"/>
      <c r="G142" s="40"/>
      <c r="H142" s="40"/>
    </row>
    <row r="143" spans="1:8" ht="22.5" hidden="1" x14ac:dyDescent="0.2">
      <c r="A143" s="43"/>
      <c r="B143" s="57"/>
      <c r="C143" s="58"/>
      <c r="D143" s="58"/>
      <c r="E143" s="58"/>
      <c r="F143" s="2"/>
      <c r="G143" s="2"/>
    </row>
    <row r="144" spans="1:8" ht="22.5" hidden="1" x14ac:dyDescent="0.2">
      <c r="A144" s="44"/>
      <c r="B144" s="59">
        <f>B12-B22</f>
        <v>25305.604319999999</v>
      </c>
      <c r="C144" s="59">
        <f>C12-C22</f>
        <v>27257.162150000004</v>
      </c>
      <c r="D144" s="59">
        <f>D12-D22</f>
        <v>27600.873149999999</v>
      </c>
      <c r="E144" s="59">
        <f>E12-E22</f>
        <v>2295.2688299999982</v>
      </c>
      <c r="F144" s="2"/>
      <c r="G144" s="2"/>
    </row>
    <row r="145" spans="1:8" ht="22.5" hidden="1" x14ac:dyDescent="0.2">
      <c r="B145" s="60">
        <f>B24-B131</f>
        <v>27063.956545999998</v>
      </c>
      <c r="C145" s="60">
        <f>C24-C131-C132</f>
        <v>29175.167819000002</v>
      </c>
      <c r="D145" s="60">
        <f>D24-D131-D132</f>
        <v>29665.598081</v>
      </c>
      <c r="E145" s="60">
        <f>E24-E131-E132</f>
        <v>2755.4315350000011</v>
      </c>
      <c r="F145" s="2"/>
      <c r="G145" s="2"/>
    </row>
    <row r="146" spans="1:8" ht="42" hidden="1" x14ac:dyDescent="0.2">
      <c r="A146" s="39" t="s">
        <v>73</v>
      </c>
      <c r="B146" s="61">
        <f>B144-B145</f>
        <v>-1758.3522259999991</v>
      </c>
      <c r="C146" s="61">
        <f>C144-C145</f>
        <v>-1918.0056689999983</v>
      </c>
      <c r="D146" s="61">
        <f>D144-D145</f>
        <v>-2064.7249310000007</v>
      </c>
      <c r="E146" s="61">
        <f>D146-B146</f>
        <v>-306.37270500000159</v>
      </c>
      <c r="F146" s="40"/>
      <c r="G146" s="40"/>
      <c r="H146" s="40"/>
    </row>
    <row r="147" spans="1:8" ht="22.5" hidden="1" x14ac:dyDescent="0.2">
      <c r="A147" s="45" t="s">
        <v>70</v>
      </c>
      <c r="B147" s="62">
        <f>B146*100/B6</f>
        <v>-1.8980383590330354</v>
      </c>
      <c r="C147" s="62">
        <f>C146*100/C6</f>
        <v>-1.8448748307106291</v>
      </c>
      <c r="D147" s="62">
        <f>D146*100/D6</f>
        <v>-1.9856179133328211</v>
      </c>
      <c r="E147" s="62"/>
      <c r="F147" s="2"/>
      <c r="G147" s="2"/>
    </row>
    <row r="148" spans="1:8" ht="22.5" hidden="1" x14ac:dyDescent="0.2">
      <c r="B148" s="48"/>
      <c r="C148" s="49"/>
      <c r="D148" s="63"/>
      <c r="E148" s="51"/>
      <c r="F148" s="2"/>
      <c r="G148" s="2"/>
    </row>
    <row r="149" spans="1:8" ht="22.5" hidden="1" x14ac:dyDescent="0.2">
      <c r="A149" s="46" t="s">
        <v>71</v>
      </c>
      <c r="B149" s="304" t="s">
        <v>72</v>
      </c>
      <c r="C149" s="304"/>
      <c r="D149" s="304"/>
      <c r="E149" s="304"/>
      <c r="F149" s="2"/>
      <c r="G149" s="2"/>
    </row>
    <row r="150" spans="1:8" ht="22.5" hidden="1" x14ac:dyDescent="0.2">
      <c r="B150" s="48"/>
      <c r="C150" s="49"/>
      <c r="D150" s="65">
        <f>D136+Таблица22462791012131457[[#Totals],[Столбец8]]</f>
        <v>0.89306899999962752</v>
      </c>
      <c r="E150" s="64"/>
    </row>
    <row r="151" spans="1:8" hidden="1" x14ac:dyDescent="0.2"/>
  </sheetData>
  <mergeCells count="3">
    <mergeCell ref="F1:G1"/>
    <mergeCell ref="A3:H3"/>
    <mergeCell ref="B149:E149"/>
  </mergeCells>
  <pageMargins left="0.39" right="0.27559055118110237" top="0.39" bottom="0.67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52"/>
  <sheetViews>
    <sheetView showGridLines="0" topLeftCell="A3" zoomScaleNormal="100" zoomScaleSheetLayoutView="70" workbookViewId="0">
      <pane xSplit="1" ySplit="4" topLeftCell="B94" activePane="bottomRight" state="frozen"/>
      <selection activeCell="D71" sqref="D71"/>
      <selection pane="topRight" activeCell="D71" sqref="D71"/>
      <selection pane="bottomLeft" activeCell="D71" sqref="D71"/>
      <selection pane="bottomRight" activeCell="N18" sqref="N18"/>
    </sheetView>
  </sheetViews>
  <sheetFormatPr defaultColWidth="9.140625" defaultRowHeight="18" x14ac:dyDescent="0.2"/>
  <cols>
    <col min="1" max="1" width="63.42578125" style="2" customWidth="1"/>
    <col min="2" max="2" width="12.7109375" style="140" customWidth="1"/>
    <col min="3" max="3" width="13.140625" style="3" customWidth="1"/>
    <col min="4" max="4" width="13.140625" style="2" customWidth="1"/>
    <col min="5" max="19" width="12.7109375" style="2" customWidth="1"/>
    <col min="20" max="16384" width="9.140625" style="2"/>
  </cols>
  <sheetData>
    <row r="1" spans="1:10" ht="42.75" hidden="1" customHeight="1" x14ac:dyDescent="0.2">
      <c r="B1" s="302"/>
      <c r="C1" s="302"/>
    </row>
    <row r="2" spans="1:10" ht="15.6" hidden="1" customHeight="1" x14ac:dyDescent="0.2">
      <c r="B2" s="139"/>
      <c r="C2" s="141"/>
    </row>
    <row r="3" spans="1:10" ht="72.75" customHeight="1" x14ac:dyDescent="0.2">
      <c r="A3" s="303" t="s">
        <v>85</v>
      </c>
      <c r="B3" s="303"/>
      <c r="C3" s="303"/>
      <c r="D3" s="303"/>
      <c r="E3" s="303"/>
      <c r="F3" s="303"/>
      <c r="G3" s="303"/>
      <c r="H3" s="303"/>
    </row>
    <row r="4" spans="1:10" ht="19.5" customHeight="1" x14ac:dyDescent="0.4">
      <c r="A4" s="163"/>
      <c r="B4" s="163"/>
      <c r="C4" s="163"/>
      <c r="D4" s="163"/>
      <c r="E4" s="305"/>
      <c r="F4" s="305"/>
      <c r="G4" s="305" t="s">
        <v>84</v>
      </c>
      <c r="H4" s="305"/>
    </row>
    <row r="5" spans="1:10" s="1" customFormat="1" ht="36" hidden="1" customHeight="1" x14ac:dyDescent="0.2">
      <c r="A5" s="66"/>
      <c r="B5" s="66"/>
      <c r="C5" s="66"/>
      <c r="D5" s="66"/>
      <c r="E5" s="142"/>
      <c r="F5" s="142"/>
      <c r="G5" s="162"/>
      <c r="H5" s="162" t="s">
        <v>77</v>
      </c>
    </row>
    <row r="6" spans="1:10" ht="69" x14ac:dyDescent="0.2">
      <c r="A6" s="117" t="s">
        <v>26</v>
      </c>
      <c r="B6" s="118" t="s">
        <v>86</v>
      </c>
      <c r="C6" s="118" t="s">
        <v>87</v>
      </c>
      <c r="D6" s="118" t="s">
        <v>88</v>
      </c>
      <c r="E6" s="118" t="s">
        <v>90</v>
      </c>
      <c r="F6" s="118" t="s">
        <v>50</v>
      </c>
      <c r="G6" s="118" t="s">
        <v>89</v>
      </c>
      <c r="H6" s="119" t="s">
        <v>60</v>
      </c>
    </row>
    <row r="7" spans="1:10" s="4" customFormat="1" ht="32.25" customHeight="1" x14ac:dyDescent="0.2">
      <c r="A7" s="143" t="s">
        <v>18</v>
      </c>
      <c r="B7" s="135">
        <v>127253</v>
      </c>
      <c r="C7" s="172">
        <v>143945</v>
      </c>
      <c r="D7" s="172">
        <v>143945</v>
      </c>
      <c r="E7" s="144">
        <f>Таблица2246279101213145745[[#This Row],[Столбец2]]-Таблица2246279101213145745[[#This Row],[Столбец3]]</f>
        <v>16692</v>
      </c>
      <c r="F7" s="135">
        <f>Таблица2246279101213145745[[#This Row],[Столбец4]]/Таблица2246279101213145745[[#This Row],[Столбец3]]*100</f>
        <v>113.11717601942586</v>
      </c>
      <c r="G7" s="145" t="s">
        <v>16</v>
      </c>
      <c r="H7" s="146" t="s">
        <v>16</v>
      </c>
    </row>
    <row r="8" spans="1:10" s="5" customFormat="1" ht="21" x14ac:dyDescent="0.2">
      <c r="A8" s="77" t="s">
        <v>15</v>
      </c>
      <c r="B8" s="134">
        <f>129.9-100</f>
        <v>29.900000000000006</v>
      </c>
      <c r="C8" s="165">
        <f>C7/B7*100-100</f>
        <v>13.117176019425855</v>
      </c>
      <c r="D8" s="165">
        <f>D7/B7*100-100</f>
        <v>13.117176019425855</v>
      </c>
      <c r="E8" s="134" t="s">
        <v>16</v>
      </c>
      <c r="F8" s="134" t="s">
        <v>16</v>
      </c>
      <c r="G8" s="79" t="s">
        <v>16</v>
      </c>
      <c r="H8" s="80" t="s">
        <v>16</v>
      </c>
    </row>
    <row r="9" spans="1:10" s="5" customFormat="1" ht="21" x14ac:dyDescent="0.2">
      <c r="A9" s="77" t="s">
        <v>0</v>
      </c>
      <c r="B9" s="134">
        <v>7.8</v>
      </c>
      <c r="C9" s="165">
        <v>8</v>
      </c>
      <c r="D9" s="165">
        <v>8</v>
      </c>
      <c r="E9" s="134" t="s">
        <v>16</v>
      </c>
      <c r="F9" s="134" t="s">
        <v>16</v>
      </c>
      <c r="G9" s="79" t="s">
        <v>16</v>
      </c>
      <c r="H9" s="80" t="s">
        <v>16</v>
      </c>
    </row>
    <row r="10" spans="1:10" s="6" customFormat="1" ht="21" x14ac:dyDescent="0.2">
      <c r="A10" s="77" t="s">
        <v>9</v>
      </c>
      <c r="B10" s="134">
        <v>3.4</v>
      </c>
      <c r="C10" s="165">
        <v>2.6</v>
      </c>
      <c r="D10" s="165">
        <v>2.6</v>
      </c>
      <c r="E10" s="134" t="s">
        <v>16</v>
      </c>
      <c r="F10" s="134" t="s">
        <v>16</v>
      </c>
      <c r="G10" s="79" t="s">
        <v>16</v>
      </c>
      <c r="H10" s="80" t="s">
        <v>16</v>
      </c>
    </row>
    <row r="11" spans="1:10" s="5" customFormat="1" ht="30" customHeight="1" x14ac:dyDescent="0.2">
      <c r="A11" s="143" t="s">
        <v>17</v>
      </c>
      <c r="B11" s="135">
        <f>B15+B19+B22</f>
        <v>37072.943471999999</v>
      </c>
      <c r="C11" s="135">
        <f>C15+C19+C22</f>
        <v>29940.215388000001</v>
      </c>
      <c r="D11" s="135">
        <f>D15+D19+D22</f>
        <v>30015.961340000002</v>
      </c>
      <c r="E11" s="135">
        <f>Таблица2246279101213145745[[#This Row],[Столбец2]]-Таблица2246279101213145745[[#This Row],[Столбец3]]</f>
        <v>-7056.9821319999974</v>
      </c>
      <c r="F11" s="135">
        <f>Таблица2246279101213145745[[#This Row],[Столбец4]]/Таблица2246279101213145745[[#This Row],[Столбец3]]*100</f>
        <v>80.760286570212273</v>
      </c>
      <c r="G11" s="135">
        <f>B11/$B$7*100</f>
        <v>29.133256954256481</v>
      </c>
      <c r="H11" s="135">
        <f>C11/$C$7*100</f>
        <v>20.799760594671575</v>
      </c>
    </row>
    <row r="12" spans="1:10" s="5" customFormat="1" ht="40.5" customHeight="1" x14ac:dyDescent="0.2">
      <c r="A12" s="143" t="s">
        <v>49</v>
      </c>
      <c r="B12" s="147">
        <f>B13+B14</f>
        <v>24768.999</v>
      </c>
      <c r="C12" s="147">
        <f>C13+C14</f>
        <v>26893.7</v>
      </c>
      <c r="D12" s="147">
        <f>D13+D14</f>
        <v>26893.7</v>
      </c>
      <c r="E12" s="147">
        <f>Таблица2246279101213145745[[#This Row],[Столбец2]]-Таблица2246279101213145745[[#This Row],[Столбец3]]</f>
        <v>2124.7010000000009</v>
      </c>
      <c r="F12" s="147">
        <f>Таблица2246279101213145745[[#This Row],[Столбец4]]/Таблица2246279101213145745[[#This Row],[Столбец3]]*100</f>
        <v>108.57806566991262</v>
      </c>
      <c r="G12" s="147">
        <f t="shared" ref="G12:G75" si="0">B12/$B$7*100</f>
        <v>19.464373335009782</v>
      </c>
      <c r="H12" s="147">
        <f t="shared" ref="H12:H75" si="1">C12/$C$7*100</f>
        <v>18.683316544513531</v>
      </c>
      <c r="J12" s="160">
        <f>Таблица2246279101213145745[[#This Row],[Столбец4]]*2%</f>
        <v>537.87400000000002</v>
      </c>
    </row>
    <row r="13" spans="1:10" s="5" customFormat="1" ht="21" x14ac:dyDescent="0.2">
      <c r="A13" s="148" t="s">
        <v>46</v>
      </c>
      <c r="B13" s="134">
        <v>23082.334999999999</v>
      </c>
      <c r="C13" s="134">
        <v>25100.3</v>
      </c>
      <c r="D13" s="134">
        <v>25100.3</v>
      </c>
      <c r="E13" s="134">
        <f>Таблица2246279101213145745[[#This Row],[Столбец2]]-Таблица2246279101213145745[[#This Row],[Столбец3]]</f>
        <v>2017.9650000000001</v>
      </c>
      <c r="F13" s="134">
        <f>Таблица2246279101213145745[[#This Row],[Столбец4]]/Таблица2246279101213145745[[#This Row],[Столбец3]]*100</f>
        <v>108.74246474630924</v>
      </c>
      <c r="G13" s="134">
        <f t="shared" si="0"/>
        <v>18.138931891586051</v>
      </c>
      <c r="H13" s="134">
        <f t="shared" si="1"/>
        <v>17.437424016117266</v>
      </c>
      <c r="J13" s="5">
        <f>C12*0.5%</f>
        <v>134.46850000000001</v>
      </c>
    </row>
    <row r="14" spans="1:10" s="5" customFormat="1" ht="21" x14ac:dyDescent="0.2">
      <c r="A14" s="148" t="s">
        <v>45</v>
      </c>
      <c r="B14" s="134">
        <v>1686.664</v>
      </c>
      <c r="C14" s="134">
        <v>1793.4</v>
      </c>
      <c r="D14" s="134">
        <v>1793.4</v>
      </c>
      <c r="E14" s="134">
        <f>Таблица2246279101213145745[[#This Row],[Столбец2]]-Таблица2246279101213145745[[#This Row],[Столбец3]]</f>
        <v>106.7360000000001</v>
      </c>
      <c r="F14" s="134">
        <f>Таблица2246279101213145745[[#This Row],[Столбец4]]/Таблица2246279101213145745[[#This Row],[Столбец3]]*100</f>
        <v>106.32823134898237</v>
      </c>
      <c r="G14" s="134">
        <f t="shared" si="0"/>
        <v>1.3254414434237307</v>
      </c>
      <c r="H14" s="134">
        <f t="shared" si="1"/>
        <v>1.2458925283962625</v>
      </c>
    </row>
    <row r="15" spans="1:10" s="5" customFormat="1" ht="42" x14ac:dyDescent="0.2">
      <c r="A15" s="143" t="s">
        <v>48</v>
      </c>
      <c r="B15" s="147">
        <f>B16+B17+B18</f>
        <v>25355.999</v>
      </c>
      <c r="C15" s="147">
        <f>C16+C17+C18</f>
        <v>27193.7</v>
      </c>
      <c r="D15" s="147">
        <f>D16+D17+D18</f>
        <v>27193.7</v>
      </c>
      <c r="E15" s="147">
        <f>Таблица2246279101213145745[[#This Row],[Столбец2]]-Таблица2246279101213145745[[#This Row],[Столбец3]]</f>
        <v>1837.7010000000009</v>
      </c>
      <c r="F15" s="147">
        <f>Таблица2246279101213145745[[#This Row],[Столбец4]]/Таблица2246279101213145745[[#This Row],[Столбец3]]*100</f>
        <v>107.24759848744276</v>
      </c>
      <c r="G15" s="147">
        <f t="shared" si="0"/>
        <v>19.925659120020747</v>
      </c>
      <c r="H15" s="147">
        <f t="shared" si="1"/>
        <v>18.891729480009726</v>
      </c>
    </row>
    <row r="16" spans="1:10" s="5" customFormat="1" ht="21" x14ac:dyDescent="0.2">
      <c r="A16" s="148" t="s">
        <v>62</v>
      </c>
      <c r="B16" s="134">
        <v>23082.334999999999</v>
      </c>
      <c r="C16" s="134">
        <v>25100.3</v>
      </c>
      <c r="D16" s="134">
        <v>25100.3</v>
      </c>
      <c r="E16" s="134">
        <f>Таблица2246279101213145745[[#This Row],[Столбец2]]-Таблица2246279101213145745[[#This Row],[Столбец3]]</f>
        <v>2017.9650000000001</v>
      </c>
      <c r="F16" s="134">
        <f>Таблица2246279101213145745[[#This Row],[Столбец4]]/Таблица2246279101213145745[[#This Row],[Столбец3]]*100</f>
        <v>108.74246474630924</v>
      </c>
      <c r="G16" s="134">
        <f t="shared" si="0"/>
        <v>18.138931891586051</v>
      </c>
      <c r="H16" s="134">
        <f t="shared" si="1"/>
        <v>17.437424016117266</v>
      </c>
    </row>
    <row r="17" spans="1:20" s="5" customFormat="1" ht="21" x14ac:dyDescent="0.2">
      <c r="A17" s="148" t="s">
        <v>45</v>
      </c>
      <c r="B17" s="134">
        <v>1686.664</v>
      </c>
      <c r="C17" s="134">
        <v>1793.4</v>
      </c>
      <c r="D17" s="134">
        <v>1793.4</v>
      </c>
      <c r="E17" s="134">
        <f>Таблица2246279101213145745[[#This Row],[Столбец2]]-Таблица2246279101213145745[[#This Row],[Столбец3]]</f>
        <v>106.7360000000001</v>
      </c>
      <c r="F17" s="134">
        <f>Таблица2246279101213145745[[#This Row],[Столбец4]]/Таблица2246279101213145745[[#This Row],[Столбец3]]*100</f>
        <v>106.32823134898237</v>
      </c>
      <c r="G17" s="134">
        <f t="shared" si="0"/>
        <v>1.3254414434237307</v>
      </c>
      <c r="H17" s="134">
        <f t="shared" si="1"/>
        <v>1.2458925283962625</v>
      </c>
    </row>
    <row r="18" spans="1:20" s="5" customFormat="1" ht="21" x14ac:dyDescent="0.2">
      <c r="A18" s="148" t="s">
        <v>25</v>
      </c>
      <c r="B18" s="134">
        <v>587</v>
      </c>
      <c r="C18" s="134">
        <v>300</v>
      </c>
      <c r="D18" s="134">
        <v>300</v>
      </c>
      <c r="E18" s="134">
        <f>Таблица2246279101213145745[[#This Row],[Столбец2]]-Таблица2246279101213145745[[#This Row],[Столбец3]]</f>
        <v>-287</v>
      </c>
      <c r="F18" s="134">
        <f>Таблица2246279101213145745[[#This Row],[Столбец4]]/Таблица2246279101213145745[[#This Row],[Столбец3]]*100</f>
        <v>51.107325383304939</v>
      </c>
      <c r="G18" s="134">
        <f t="shared" si="0"/>
        <v>0.4612857850109624</v>
      </c>
      <c r="H18" s="134">
        <f t="shared" si="1"/>
        <v>0.20841293549619644</v>
      </c>
    </row>
    <row r="19" spans="1:20" s="5" customFormat="1" ht="42" x14ac:dyDescent="0.2">
      <c r="A19" s="143" t="s">
        <v>20</v>
      </c>
      <c r="B19" s="147">
        <f>B20+B21</f>
        <v>9292.144472</v>
      </c>
      <c r="C19" s="147">
        <f>C20+C21</f>
        <v>0</v>
      </c>
      <c r="D19" s="147">
        <f>D20+D21</f>
        <v>0</v>
      </c>
      <c r="E19" s="147">
        <f>Таблица2246279101213145745[[#This Row],[Столбец2]]-Таблица2246279101213145745[[#This Row],[Столбец3]]</f>
        <v>-9292.144472</v>
      </c>
      <c r="F19" s="147">
        <f>Таблица2246279101213145745[[#This Row],[Столбец4]]/Таблица2246279101213145745[[#This Row],[Столбец3]]*100</f>
        <v>0</v>
      </c>
      <c r="G19" s="147">
        <f t="shared" si="0"/>
        <v>7.3021024824562089</v>
      </c>
      <c r="H19" s="147">
        <f t="shared" si="1"/>
        <v>0</v>
      </c>
    </row>
    <row r="20" spans="1:20" s="6" customFormat="1" ht="21" x14ac:dyDescent="0.2">
      <c r="A20" s="148" t="s">
        <v>21</v>
      </c>
      <c r="B20" s="134">
        <v>6043.1254099999996</v>
      </c>
      <c r="C20" s="134"/>
      <c r="D20" s="134"/>
      <c r="E20" s="134">
        <f>Таблица2246279101213145745[[#This Row],[Столбец2]]-Таблица2246279101213145745[[#This Row],[Столбец3]]</f>
        <v>-6043.1254099999996</v>
      </c>
      <c r="F20" s="134">
        <f>Таблица2246279101213145745[[#This Row],[Столбец4]]/Таблица2246279101213145745[[#This Row],[Столбец3]]*100</f>
        <v>0</v>
      </c>
      <c r="G20" s="134">
        <f t="shared" si="0"/>
        <v>4.7489060454370424</v>
      </c>
      <c r="H20" s="134">
        <f t="shared" si="1"/>
        <v>0</v>
      </c>
    </row>
    <row r="21" spans="1:20" s="5" customFormat="1" ht="21" x14ac:dyDescent="0.2">
      <c r="A21" s="148" t="s">
        <v>22</v>
      </c>
      <c r="B21" s="134">
        <v>3249.0190619999998</v>
      </c>
      <c r="C21" s="134"/>
      <c r="D21" s="134"/>
      <c r="E21" s="134">
        <f>Таблица2246279101213145745[[#This Row],[Столбец2]]-Таблица2246279101213145745[[#This Row],[Столбец3]]</f>
        <v>-3249.0190619999998</v>
      </c>
      <c r="F21" s="134">
        <f>Таблица2246279101213145745[[#This Row],[Столбец4]]/Таблица2246279101213145745[[#This Row],[Столбец3]]*100</f>
        <v>0</v>
      </c>
      <c r="G21" s="134">
        <f t="shared" si="0"/>
        <v>2.5531964370191664</v>
      </c>
      <c r="H21" s="134">
        <f t="shared" si="1"/>
        <v>0</v>
      </c>
    </row>
    <row r="22" spans="1:20" s="5" customFormat="1" ht="21" x14ac:dyDescent="0.2">
      <c r="A22" s="143" t="s">
        <v>23</v>
      </c>
      <c r="B22" s="135">
        <v>2424.8000000000002</v>
      </c>
      <c r="C22" s="135">
        <v>2746.5153879999998</v>
      </c>
      <c r="D22" s="135">
        <v>2822.26134</v>
      </c>
      <c r="E22" s="135">
        <f>Таблица2246279101213145745[[#This Row],[Столбец2]]-Таблица2246279101213145745[[#This Row],[Столбец3]]</f>
        <v>397.46133999999984</v>
      </c>
      <c r="F22" s="135">
        <f>Таблица2246279101213145745[[#This Row],[Столбец4]]/Таблица2246279101213145745[[#This Row],[Столбец3]]*100</f>
        <v>113.26770818211808</v>
      </c>
      <c r="G22" s="135">
        <f t="shared" si="0"/>
        <v>1.9054953517795261</v>
      </c>
      <c r="H22" s="135">
        <f t="shared" si="1"/>
        <v>1.9080311146618498</v>
      </c>
    </row>
    <row r="23" spans="1:20" s="6" customFormat="1" ht="48.75" customHeight="1" x14ac:dyDescent="0.2">
      <c r="A23" s="143" t="s">
        <v>51</v>
      </c>
      <c r="B23" s="135">
        <f>B24+B28+B31</f>
        <v>38103.704980000002</v>
      </c>
      <c r="C23" s="170">
        <f>C24+C28+C31</f>
        <v>30667.801774999996</v>
      </c>
      <c r="D23" s="170">
        <f>D24+D28+D31</f>
        <v>32511.760262</v>
      </c>
      <c r="E23" s="135">
        <f>Таблица2246279101213145745[[#This Row],[Столбец2]]-Таблица2246279101213145745[[#This Row],[Столбец3]]</f>
        <v>-5591.9447180000025</v>
      </c>
      <c r="F23" s="135">
        <f>Таблица2246279101213145745[[#This Row],[Столбец4]]/Таблица2246279101213145745[[#This Row],[Столбец3]]*100</f>
        <v>80.485091387037073</v>
      </c>
      <c r="G23" s="135">
        <f t="shared" si="0"/>
        <v>29.943266547743473</v>
      </c>
      <c r="H23" s="135">
        <f t="shared" si="1"/>
        <v>21.305221977144047</v>
      </c>
    </row>
    <row r="24" spans="1:20" s="133" customFormat="1" ht="21" x14ac:dyDescent="0.2">
      <c r="A24" s="150" t="s">
        <v>27</v>
      </c>
      <c r="B24" s="135">
        <f t="shared" ref="B24:D25" si="2">B33+B40+B47+B82+B128</f>
        <v>26549.418755999995</v>
      </c>
      <c r="C24" s="135">
        <f t="shared" si="2"/>
        <v>28083.944634999996</v>
      </c>
      <c r="D24" s="135">
        <f t="shared" si="2"/>
        <v>29852.157169999999</v>
      </c>
      <c r="E24" s="135">
        <f>Таблица2246279101213145745[[#This Row],[Столбец2]]-Таблица2246279101213145745[[#This Row],[Столбец3]]</f>
        <v>3302.7384140000031</v>
      </c>
      <c r="F24" s="135">
        <f>Таблица2246279101213145745[[#This Row],[Столбец4]]/Таблица2246279101213145745[[#This Row],[Столбец3]]*100</f>
        <v>105.77988502536692</v>
      </c>
      <c r="G24" s="135">
        <f t="shared" si="0"/>
        <v>20.863491435172449</v>
      </c>
      <c r="H24" s="135">
        <f t="shared" si="1"/>
        <v>19.51019113897669</v>
      </c>
    </row>
    <row r="25" spans="1:20" s="5" customFormat="1" ht="21" x14ac:dyDescent="0.2">
      <c r="A25" s="149" t="s">
        <v>33</v>
      </c>
      <c r="B25" s="134">
        <f t="shared" si="2"/>
        <v>7963.4586660000004</v>
      </c>
      <c r="C25" s="134">
        <f t="shared" si="2"/>
        <v>8490.3762850000003</v>
      </c>
      <c r="D25" s="134">
        <f t="shared" si="2"/>
        <v>9036.6659650000001</v>
      </c>
      <c r="E25" s="134">
        <f>Таблица2246279101213145745[[#This Row],[Столбец2]]-Таблица2246279101213145745[[#This Row],[Столбец3]]</f>
        <v>1073.2072989999997</v>
      </c>
      <c r="F25" s="134">
        <f>Таблица2246279101213145745[[#This Row],[Столбец4]]/Таблица2246279101213145745[[#This Row],[Столбец3]]*100</f>
        <v>106.61669308650619</v>
      </c>
      <c r="G25" s="134">
        <f t="shared" si="0"/>
        <v>6.2579732234210592</v>
      </c>
      <c r="H25" s="134">
        <f t="shared" si="1"/>
        <v>5.8983474834138034</v>
      </c>
    </row>
    <row r="26" spans="1:20" s="133" customFormat="1" ht="21" x14ac:dyDescent="0.2">
      <c r="A26" s="149" t="s">
        <v>34</v>
      </c>
      <c r="B26" s="134">
        <f>B35+B42+B49+B84</f>
        <v>4311.3766059999998</v>
      </c>
      <c r="C26" s="134">
        <f>C35+C42+C49+C84</f>
        <v>4222.6654159999998</v>
      </c>
      <c r="D26" s="134">
        <f>D35+D42+D49+D84</f>
        <v>4772.5736059999999</v>
      </c>
      <c r="E26" s="134">
        <f>Таблица2246279101213145745[[#This Row],[Столбец2]]-Таблица2246279101213145745[[#This Row],[Столбец3]]</f>
        <v>461.19700000000012</v>
      </c>
      <c r="F26" s="134">
        <f>Таблица2246279101213145745[[#This Row],[Столбец4]]/Таблица2246279101213145745[[#This Row],[Столбец3]]*100</f>
        <v>97.942392926738435</v>
      </c>
      <c r="G26" s="134">
        <f t="shared" si="0"/>
        <v>3.388035335905637</v>
      </c>
      <c r="H26" s="134">
        <f t="shared" si="1"/>
        <v>2.9335269832227584</v>
      </c>
      <c r="J26" s="138"/>
    </row>
    <row r="27" spans="1:20" s="133" customFormat="1" ht="21" x14ac:dyDescent="0.2">
      <c r="A27" s="149" t="s">
        <v>35</v>
      </c>
      <c r="B27" s="132">
        <f>B36+B43+B50+B85+B128-B129</f>
        <v>14274.583483999999</v>
      </c>
      <c r="C27" s="132">
        <f>C36+C43+C50+C85+C128-C129</f>
        <v>15370.902934000002</v>
      </c>
      <c r="D27" s="132">
        <f>D36+D43+D50+D85+D128-D129</f>
        <v>16042.917598999999</v>
      </c>
      <c r="E27" s="132">
        <f>Таблица2246279101213145745[[#This Row],[Столбец2]]-Таблица2246279101213145745[[#This Row],[Столбец3]]</f>
        <v>1768.3341149999997</v>
      </c>
      <c r="F27" s="132">
        <f>Таблица2246279101213145745[[#This Row],[Столбец4]]/Таблица2246279101213145745[[#This Row],[Столбец3]]*100</f>
        <v>107.68022024060345</v>
      </c>
      <c r="G27" s="132">
        <f t="shared" si="0"/>
        <v>11.217482875845755</v>
      </c>
      <c r="H27" s="132">
        <f t="shared" si="1"/>
        <v>10.678316672340131</v>
      </c>
    </row>
    <row r="28" spans="1:20" s="133" customFormat="1" ht="21" x14ac:dyDescent="0.2">
      <c r="A28" s="151" t="s">
        <v>32</v>
      </c>
      <c r="B28" s="135">
        <f>B37+B44+B51+B86</f>
        <v>9292.144472</v>
      </c>
      <c r="C28" s="135">
        <f>C29+C30</f>
        <v>0</v>
      </c>
      <c r="D28" s="135">
        <f>D29+D30</f>
        <v>0</v>
      </c>
      <c r="E28" s="135">
        <f>Таблица2246279101213145745[[#This Row],[Столбец2]]-Таблица2246279101213145745[[#This Row],[Столбец3]]</f>
        <v>-9292.144472</v>
      </c>
      <c r="F28" s="135">
        <f>Таблица2246279101213145745[[#This Row],[Столбец4]]/Таблица2246279101213145745[[#This Row],[Столбец3]]*100</f>
        <v>0</v>
      </c>
      <c r="G28" s="135">
        <f t="shared" si="0"/>
        <v>7.3021024824562089</v>
      </c>
      <c r="H28" s="135">
        <f t="shared" si="1"/>
        <v>0</v>
      </c>
      <c r="K28" s="152"/>
    </row>
    <row r="29" spans="1:20" s="133" customFormat="1" ht="21" x14ac:dyDescent="0.2">
      <c r="A29" s="149" t="s">
        <v>36</v>
      </c>
      <c r="B29" s="134">
        <v>6043.1</v>
      </c>
      <c r="C29" s="134"/>
      <c r="D29" s="134"/>
      <c r="E29" s="134">
        <f>Таблица2246279101213145745[[#This Row],[Столбец2]]-Таблица2246279101213145745[[#This Row],[Столбец3]]</f>
        <v>-6043.1</v>
      </c>
      <c r="F29" s="134">
        <f>Таблица2246279101213145745[[#This Row],[Столбец4]]/Таблица2246279101213145745[[#This Row],[Столбец3]]*100</f>
        <v>0</v>
      </c>
      <c r="G29" s="134">
        <f t="shared" si="0"/>
        <v>4.7488860773419885</v>
      </c>
      <c r="H29" s="134">
        <f t="shared" si="1"/>
        <v>0</v>
      </c>
    </row>
    <row r="30" spans="1:20" s="133" customFormat="1" ht="21" x14ac:dyDescent="0.2">
      <c r="A30" s="149" t="s">
        <v>37</v>
      </c>
      <c r="B30" s="134">
        <v>3249</v>
      </c>
      <c r="C30" s="134"/>
      <c r="D30" s="134"/>
      <c r="E30" s="134">
        <f>Таблица2246279101213145745[[#This Row],[Столбец2]]-Таблица2246279101213145745[[#This Row],[Столбец3]]</f>
        <v>-3249</v>
      </c>
      <c r="F30" s="134">
        <f>Таблица2246279101213145745[[#This Row],[Столбец4]]/Таблица2246279101213145745[[#This Row],[Столбец3]]*100</f>
        <v>0</v>
      </c>
      <c r="G30" s="134">
        <f t="shared" si="0"/>
        <v>2.553181457411613</v>
      </c>
      <c r="H30" s="134">
        <f t="shared" si="1"/>
        <v>0</v>
      </c>
    </row>
    <row r="31" spans="1:20" s="5" customFormat="1" ht="21" x14ac:dyDescent="0.2">
      <c r="A31" s="150" t="s">
        <v>29</v>
      </c>
      <c r="B31" s="135">
        <f>B38+B45+B52+B87+B126</f>
        <v>2262.1417520000005</v>
      </c>
      <c r="C31" s="135">
        <f>C38+C45+C52+C87+C126</f>
        <v>2583.8571400000001</v>
      </c>
      <c r="D31" s="135">
        <f>D38+D45+D52+D87+D126</f>
        <v>2659.6030920000003</v>
      </c>
      <c r="E31" s="135">
        <f>Таблица2246279101213145745[[#This Row],[Столбец2]]-Таблица2246279101213145745[[#This Row],[Столбец3]]</f>
        <v>397.46133999999984</v>
      </c>
      <c r="F31" s="135">
        <f>Таблица2246279101213145745[[#This Row],[Столбец4]]/Таблица2246279101213145745[[#This Row],[Столбец3]]*100</f>
        <v>114.22171655315434</v>
      </c>
      <c r="G31" s="135">
        <f t="shared" si="0"/>
        <v>1.7776726301148109</v>
      </c>
      <c r="H31" s="135">
        <f t="shared" si="1"/>
        <v>1.7950308381673556</v>
      </c>
    </row>
    <row r="32" spans="1:20" s="5" customFormat="1" ht="21" x14ac:dyDescent="0.2">
      <c r="A32" s="151" t="s">
        <v>12</v>
      </c>
      <c r="B32" s="135">
        <f>B33+B37+B38</f>
        <v>1661.6052600000003</v>
      </c>
      <c r="C32" s="171">
        <f>C33+C37+C38</f>
        <v>1485.4403460000001</v>
      </c>
      <c r="D32" s="171">
        <f>D33+D37+D38</f>
        <v>1528.946375</v>
      </c>
      <c r="E32" s="135">
        <f>Таблица2246279101213145745[[#This Row],[Столбец2]]-Таблица2246279101213145745[[#This Row],[Столбец3]]</f>
        <v>-132.65888500000028</v>
      </c>
      <c r="F32" s="135">
        <f>Таблица2246279101213145745[[#This Row],[Столбец4]]/Таблица2246279101213145745[[#This Row],[Столбец3]]*100</f>
        <v>89.397908261315919</v>
      </c>
      <c r="G32" s="135">
        <f t="shared" si="0"/>
        <v>1.305749381154079</v>
      </c>
      <c r="H32" s="135">
        <f t="shared" si="1"/>
        <v>1.0319499433811525</v>
      </c>
      <c r="T32" s="161"/>
    </row>
    <row r="33" spans="1:10" s="5" customFormat="1" ht="21" x14ac:dyDescent="0.2">
      <c r="A33" s="153" t="s">
        <v>27</v>
      </c>
      <c r="B33" s="135">
        <f>B34+B35+B36</f>
        <v>1172.1676550000002</v>
      </c>
      <c r="C33" s="171">
        <f>C34+C35+C36</f>
        <v>1191.9165700000001</v>
      </c>
      <c r="D33" s="171">
        <f>D34+D35+D36</f>
        <v>1215.6874</v>
      </c>
      <c r="E33" s="135">
        <f>Таблица2246279101213145745[[#This Row],[Столбец2]]-Таблица2246279101213145745[[#This Row],[Столбец3]]</f>
        <v>43.51974499999983</v>
      </c>
      <c r="F33" s="135">
        <f>Таблица2246279101213145745[[#This Row],[Столбец4]]/Таблица2246279101213145745[[#This Row],[Столбец3]]*100</f>
        <v>101.68481999275095</v>
      </c>
      <c r="G33" s="135">
        <f t="shared" si="0"/>
        <v>0.92113164719102913</v>
      </c>
      <c r="H33" s="135">
        <f t="shared" si="1"/>
        <v>0.82803610406752581</v>
      </c>
    </row>
    <row r="34" spans="1:10" s="5" customFormat="1" ht="24" customHeight="1" x14ac:dyDescent="0.2">
      <c r="A34" s="149" t="s">
        <v>33</v>
      </c>
      <c r="B34" s="132">
        <v>564.87689399999999</v>
      </c>
      <c r="C34" s="168">
        <v>570.81185000000005</v>
      </c>
      <c r="D34" s="168">
        <v>593.53650000000005</v>
      </c>
      <c r="E34" s="132">
        <f>Таблица2246279101213145745[[#This Row],[Столбец2]]-Таблица2246279101213145745[[#This Row],[Столбец3]]</f>
        <v>28.659606000000053</v>
      </c>
      <c r="F34" s="132">
        <f>Таблица2246279101213145745[[#This Row],[Столбец4]]/Таблица2246279101213145745[[#This Row],[Столбец3]]*100</f>
        <v>101.05066361592054</v>
      </c>
      <c r="G34" s="132">
        <f t="shared" si="0"/>
        <v>0.44390064988644667</v>
      </c>
      <c r="H34" s="132">
        <f t="shared" si="1"/>
        <v>0.3965485775817153</v>
      </c>
    </row>
    <row r="35" spans="1:10" s="5" customFormat="1" ht="21" x14ac:dyDescent="0.2">
      <c r="A35" s="149" t="s">
        <v>34</v>
      </c>
      <c r="B35" s="132">
        <v>81.2</v>
      </c>
      <c r="C35" s="168">
        <v>75.86</v>
      </c>
      <c r="D35" s="168">
        <v>87.629000000000005</v>
      </c>
      <c r="E35" s="132">
        <f>Таблица2246279101213145745[[#This Row],[Столбец2]]-Таблица2246279101213145745[[#This Row],[Столбец3]]</f>
        <v>6.429000000000002</v>
      </c>
      <c r="F35" s="132">
        <f>Таблица2246279101213145745[[#This Row],[Столбец4]]/Таблица2246279101213145745[[#This Row],[Столбец3]]*100</f>
        <v>93.423645320197039</v>
      </c>
      <c r="G35" s="132">
        <f t="shared" si="0"/>
        <v>6.3809890533032626E-2</v>
      </c>
      <c r="H35" s="132">
        <f t="shared" si="1"/>
        <v>5.2700684289138211E-2</v>
      </c>
    </row>
    <row r="36" spans="1:10" s="5" customFormat="1" ht="21" x14ac:dyDescent="0.2">
      <c r="A36" s="149" t="s">
        <v>35</v>
      </c>
      <c r="B36" s="132">
        <v>526.09076100000004</v>
      </c>
      <c r="C36" s="168">
        <f>545.24472</f>
        <v>545.24472000000003</v>
      </c>
      <c r="D36" s="168">
        <v>534.52189999999996</v>
      </c>
      <c r="E36" s="132">
        <f>Таблица2246279101213145745[[#This Row],[Столбец2]]-Таблица2246279101213145745[[#This Row],[Столбец3]]</f>
        <v>8.4311389999999165</v>
      </c>
      <c r="F36" s="132">
        <f>Таблица2246279101213145745[[#This Row],[Столбец4]]/Таблица2246279101213145745[[#This Row],[Столбец3]]*100</f>
        <v>103.64080885275231</v>
      </c>
      <c r="G36" s="132">
        <f t="shared" si="0"/>
        <v>0.41342110677154958</v>
      </c>
      <c r="H36" s="132">
        <f t="shared" si="1"/>
        <v>0.37878684219667236</v>
      </c>
    </row>
    <row r="37" spans="1:10" s="5" customFormat="1" ht="21" x14ac:dyDescent="0.2">
      <c r="A37" s="174" t="s">
        <v>28</v>
      </c>
      <c r="B37" s="164">
        <v>237.075975</v>
      </c>
      <c r="C37" s="164"/>
      <c r="D37" s="164"/>
      <c r="E37" s="164">
        <f>Таблица2246279101213145745[[#This Row],[Столбец2]]-Таблица2246279101213145745[[#This Row],[Столбец3]]</f>
        <v>-237.075975</v>
      </c>
      <c r="F37" s="164">
        <f>Таблица2246279101213145745[[#This Row],[Столбец4]]/Таблица2246279101213145745[[#This Row],[Столбец3]]*100</f>
        <v>0</v>
      </c>
      <c r="G37" s="164">
        <f t="shared" si="0"/>
        <v>0.18630285730002438</v>
      </c>
      <c r="H37" s="164">
        <f t="shared" si="1"/>
        <v>0</v>
      </c>
    </row>
    <row r="38" spans="1:10" s="5" customFormat="1" ht="21" x14ac:dyDescent="0.2">
      <c r="A38" s="173" t="s">
        <v>29</v>
      </c>
      <c r="B38" s="165">
        <v>252.36162999999999</v>
      </c>
      <c r="C38" s="165">
        <v>293.523776</v>
      </c>
      <c r="D38" s="165">
        <v>313.25897500000002</v>
      </c>
      <c r="E38" s="165">
        <f>Таблица2246279101213145745[[#This Row],[Столбец2]]-Таблица2246279101213145745[[#This Row],[Столбец3]]</f>
        <v>60.89734500000003</v>
      </c>
      <c r="F38" s="165">
        <f>Таблица2246279101213145745[[#This Row],[Столбец4]]/Таблица2246279101213145745[[#This Row],[Столбец3]]*100</f>
        <v>116.31077830651198</v>
      </c>
      <c r="G38" s="165">
        <f t="shared" si="0"/>
        <v>0.19831487666302564</v>
      </c>
      <c r="H38" s="165">
        <f t="shared" si="1"/>
        <v>0.20391383931362672</v>
      </c>
    </row>
    <row r="39" spans="1:10" s="133" customFormat="1" ht="42" x14ac:dyDescent="0.2">
      <c r="A39" s="151" t="s">
        <v>30</v>
      </c>
      <c r="B39" s="135">
        <f>SUM(B40,B44,B45)</f>
        <v>2944.845883</v>
      </c>
      <c r="C39" s="171">
        <f>SUM(C40,C44,C45)</f>
        <v>3579.6904679999998</v>
      </c>
      <c r="D39" s="171">
        <f>SUM(D40,D44,D45)</f>
        <v>3665.2750149999997</v>
      </c>
      <c r="E39" s="135">
        <f>Таблица2246279101213145745[[#This Row],[Столбец2]]-Таблица2246279101213145745[[#This Row],[Столбец3]]</f>
        <v>720.42913199999975</v>
      </c>
      <c r="F39" s="135">
        <f>Таблица2246279101213145745[[#This Row],[Столбец4]]/Таблица2246279101213145745[[#This Row],[Столбец3]]*100</f>
        <v>121.55782034859037</v>
      </c>
      <c r="G39" s="135">
        <f t="shared" si="0"/>
        <v>2.3141661752571649</v>
      </c>
      <c r="H39" s="135">
        <f t="shared" si="1"/>
        <v>2.4868459953454445</v>
      </c>
      <c r="J39" s="169"/>
    </row>
    <row r="40" spans="1:10" s="133" customFormat="1" ht="21" x14ac:dyDescent="0.2">
      <c r="A40" s="153" t="s">
        <v>27</v>
      </c>
      <c r="B40" s="134">
        <f>B41+B42+B43</f>
        <v>2669.6256359999998</v>
      </c>
      <c r="C40" s="165">
        <f>C41+C42+C43</f>
        <v>3245.071144</v>
      </c>
      <c r="D40" s="165">
        <f>D41+D42+D43</f>
        <v>3326.2070039999999</v>
      </c>
      <c r="E40" s="134">
        <f>Таблица2246279101213145745[[#This Row],[Столбец2]]-Таблица2246279101213145745[[#This Row],[Столбец3]]</f>
        <v>656.58136800000011</v>
      </c>
      <c r="F40" s="134">
        <f>Таблица2246279101213145745[[#This Row],[Столбец4]]/Таблица2246279101213145745[[#This Row],[Столбец3]]*100</f>
        <v>121.55528851087196</v>
      </c>
      <c r="G40" s="134">
        <f t="shared" si="0"/>
        <v>2.0978881723810043</v>
      </c>
      <c r="H40" s="134">
        <f t="shared" si="1"/>
        <v>2.2543826767168018</v>
      </c>
    </row>
    <row r="41" spans="1:10" s="133" customFormat="1" ht="21" x14ac:dyDescent="0.2">
      <c r="A41" s="149" t="s">
        <v>33</v>
      </c>
      <c r="B41" s="134">
        <v>1315.085816</v>
      </c>
      <c r="C41" s="165">
        <v>1513.651042</v>
      </c>
      <c r="D41" s="165">
        <v>1513.651042</v>
      </c>
      <c r="E41" s="134">
        <f>Таблица2246279101213145745[[#This Row],[Столбец2]]-Таблица2246279101213145745[[#This Row],[Столбец3]]</f>
        <v>198.56522599999994</v>
      </c>
      <c r="F41" s="134">
        <f>Таблица2246279101213145745[[#This Row],[Столбец4]]/Таблица2246279101213145745[[#This Row],[Столбец3]]*100</f>
        <v>115.09903183382823</v>
      </c>
      <c r="G41" s="134">
        <f t="shared" si="0"/>
        <v>1.0334418960653187</v>
      </c>
      <c r="H41" s="134">
        <f t="shared" si="1"/>
        <v>1.0515481899336552</v>
      </c>
    </row>
    <row r="42" spans="1:10" s="136" customFormat="1" ht="21" x14ac:dyDescent="0.2">
      <c r="A42" s="149" t="s">
        <v>34</v>
      </c>
      <c r="B42" s="154">
        <v>172.66960599999999</v>
      </c>
      <c r="C42" s="167">
        <f>82.43+85.999306</f>
        <v>168.429306</v>
      </c>
      <c r="D42" s="167">
        <f>86.22+91.319606</f>
        <v>177.53960599999999</v>
      </c>
      <c r="E42" s="154">
        <f>Таблица2246279101213145745[[#This Row],[Столбец2]]-Таблица2246279101213145745[[#This Row],[Столбец3]]</f>
        <v>4.8700000000000045</v>
      </c>
      <c r="F42" s="154">
        <f>Таблица2246279101213145745[[#This Row],[Столбец4]]/Таблица2246279101213145745[[#This Row],[Столбец3]]*100</f>
        <v>97.544269603534048</v>
      </c>
      <c r="G42" s="154">
        <f t="shared" si="0"/>
        <v>0.13569000809411172</v>
      </c>
      <c r="H42" s="154">
        <f t="shared" si="1"/>
        <v>0.1170094869568238</v>
      </c>
    </row>
    <row r="43" spans="1:10" s="133" customFormat="1" ht="21" x14ac:dyDescent="0.2">
      <c r="A43" s="149" t="s">
        <v>35</v>
      </c>
      <c r="B43" s="134">
        <v>1181.870214</v>
      </c>
      <c r="C43" s="165">
        <f>118.35915+1444.631646</f>
        <v>1562.990796</v>
      </c>
      <c r="D43" s="165">
        <f>137.091189+1497.925167</f>
        <v>1635.0163560000001</v>
      </c>
      <c r="E43" s="134">
        <f>Таблица2246279101213145745[[#This Row],[Столбец2]]-Таблица2246279101213145745[[#This Row],[Столбец3]]</f>
        <v>453.14614200000005</v>
      </c>
      <c r="F43" s="134">
        <f>Таблица2246279101213145745[[#This Row],[Столбец4]]/Таблица2246279101213145745[[#This Row],[Столбец3]]*100</f>
        <v>132.24724487387749</v>
      </c>
      <c r="G43" s="134">
        <f t="shared" si="0"/>
        <v>0.92875626822157431</v>
      </c>
      <c r="H43" s="134">
        <f t="shared" si="1"/>
        <v>1.0858249998263225</v>
      </c>
    </row>
    <row r="44" spans="1:10" s="133" customFormat="1" ht="21" x14ac:dyDescent="0.2">
      <c r="A44" s="174" t="s">
        <v>28</v>
      </c>
      <c r="B44" s="164">
        <v>34.990349999999999</v>
      </c>
      <c r="C44" s="164"/>
      <c r="D44" s="164"/>
      <c r="E44" s="164">
        <f>Таблица2246279101213145745[[#This Row],[Столбец2]]-Таблица2246279101213145745[[#This Row],[Столбец3]]</f>
        <v>-34.990349999999999</v>
      </c>
      <c r="F44" s="164">
        <f>Таблица2246279101213145745[[#This Row],[Столбец4]]/Таблица2246279101213145745[[#This Row],[Столбец3]]*100</f>
        <v>0</v>
      </c>
      <c r="G44" s="164">
        <f t="shared" si="0"/>
        <v>2.7496679842518443E-2</v>
      </c>
      <c r="H44" s="164">
        <f t="shared" si="1"/>
        <v>0</v>
      </c>
    </row>
    <row r="45" spans="1:10" s="133" customFormat="1" ht="21" x14ac:dyDescent="0.2">
      <c r="A45" s="153" t="s">
        <v>29</v>
      </c>
      <c r="B45" s="134">
        <v>240.22989699999999</v>
      </c>
      <c r="C45" s="165">
        <v>334.61932400000001</v>
      </c>
      <c r="D45" s="165">
        <v>339.06801100000001</v>
      </c>
      <c r="E45" s="134">
        <f>Таблица2246279101213145745[[#This Row],[Столбец2]]-Таблица2246279101213145745[[#This Row],[Столбец3]]</f>
        <v>98.838114000000019</v>
      </c>
      <c r="F45" s="134">
        <f>Таблица2246279101213145745[[#This Row],[Столбец4]]/Таблица2246279101213145745[[#This Row],[Столбец3]]*100</f>
        <v>139.29129062566264</v>
      </c>
      <c r="G45" s="134">
        <f t="shared" si="0"/>
        <v>0.18878132303364162</v>
      </c>
      <c r="H45" s="134">
        <f t="shared" si="1"/>
        <v>0.23246331862864289</v>
      </c>
    </row>
    <row r="46" spans="1:10" s="5" customFormat="1" ht="30" customHeight="1" x14ac:dyDescent="0.2">
      <c r="A46" s="143" t="s">
        <v>31</v>
      </c>
      <c r="B46" s="135">
        <f>SUM(B53,B60,B67,B74)</f>
        <v>16946.411085</v>
      </c>
      <c r="C46" s="135">
        <f>SUM(C53,C60,C67,C74)</f>
        <v>16312.357227</v>
      </c>
      <c r="D46" s="135">
        <f>SUM(D53,D60,D67,D74)</f>
        <v>17479.531293</v>
      </c>
      <c r="E46" s="135">
        <f>Таблица2246279101213145745[[#This Row],[Столбец2]]-Таблица2246279101213145745[[#This Row],[Столбец3]]</f>
        <v>533.12020800000028</v>
      </c>
      <c r="F46" s="135">
        <f>Таблица2246279101213145745[[#This Row],[Столбец4]]/Таблица2246279101213145745[[#This Row],[Столбец3]]*100</f>
        <v>96.258477061486914</v>
      </c>
      <c r="G46" s="135">
        <f t="shared" si="0"/>
        <v>13.317101431793358</v>
      </c>
      <c r="H46" s="135">
        <f t="shared" si="1"/>
        <v>11.332354181805551</v>
      </c>
    </row>
    <row r="47" spans="1:10" s="5" customFormat="1" ht="21" x14ac:dyDescent="0.2">
      <c r="A47" s="153" t="s">
        <v>27</v>
      </c>
      <c r="B47" s="134">
        <f t="shared" ref="B47:D52" si="3">B54+B61+B68+B75</f>
        <v>13811.879652</v>
      </c>
      <c r="C47" s="134">
        <f t="shared" si="3"/>
        <v>14542.8</v>
      </c>
      <c r="D47" s="134">
        <f t="shared" si="3"/>
        <v>15660.697</v>
      </c>
      <c r="E47" s="134">
        <f>Таблица2246279101213145745[[#This Row],[Столбец2]]-Таблица2246279101213145745[[#This Row],[Столбец3]]</f>
        <v>1848.8173480000005</v>
      </c>
      <c r="F47" s="134">
        <f>Таблица2246279101213145745[[#This Row],[Столбец4]]/Таблица2246279101213145745[[#This Row],[Столбец3]]*100</f>
        <v>105.29196869952571</v>
      </c>
      <c r="G47" s="134">
        <f t="shared" si="0"/>
        <v>10.853873505536214</v>
      </c>
      <c r="H47" s="134">
        <f t="shared" si="1"/>
        <v>10.103025461113619</v>
      </c>
    </row>
    <row r="48" spans="1:10" s="5" customFormat="1" ht="21" x14ac:dyDescent="0.2">
      <c r="A48" s="149" t="s">
        <v>33</v>
      </c>
      <c r="B48" s="132">
        <f t="shared" si="3"/>
        <v>5594.4763530000009</v>
      </c>
      <c r="C48" s="132">
        <f t="shared" si="3"/>
        <v>6015.2</v>
      </c>
      <c r="D48" s="132">
        <f t="shared" si="3"/>
        <v>6536.8000000000011</v>
      </c>
      <c r="E48" s="132">
        <f>Таблица2246279101213145745[[#This Row],[Столбец2]]-Таблица2246279101213145745[[#This Row],[Столбец3]]</f>
        <v>942.32364700000016</v>
      </c>
      <c r="F48" s="132">
        <f>Таблица2246279101213145745[[#This Row],[Столбец4]]/Таблица2246279101213145745[[#This Row],[Столбец3]]*100</f>
        <v>107.52034007212113</v>
      </c>
      <c r="G48" s="132">
        <f t="shared" si="0"/>
        <v>4.3963414245636647</v>
      </c>
      <c r="H48" s="132">
        <f t="shared" si="1"/>
        <v>4.1788182986557363</v>
      </c>
    </row>
    <row r="49" spans="1:13" s="5" customFormat="1" ht="21" x14ac:dyDescent="0.2">
      <c r="A49" s="149" t="s">
        <v>34</v>
      </c>
      <c r="B49" s="132">
        <f t="shared" si="3"/>
        <v>888.48300000000006</v>
      </c>
      <c r="C49" s="132">
        <f t="shared" si="3"/>
        <v>863</v>
      </c>
      <c r="D49" s="132">
        <f t="shared" si="3"/>
        <v>999.197</v>
      </c>
      <c r="E49" s="132">
        <f>Таблица2246279101213145745[[#This Row],[Столбец2]]-Таблица2246279101213145745[[#This Row],[Столбец3]]</f>
        <v>110.71399999999994</v>
      </c>
      <c r="F49" s="132">
        <f>Таблица2246279101213145745[[#This Row],[Столбец4]]/Таблица2246279101213145745[[#This Row],[Столбец3]]*100</f>
        <v>97.131852832299543</v>
      </c>
      <c r="G49" s="132">
        <f t="shared" si="0"/>
        <v>0.69820200702537472</v>
      </c>
      <c r="H49" s="132">
        <f t="shared" si="1"/>
        <v>0.59953454444405851</v>
      </c>
    </row>
    <row r="50" spans="1:13" s="5" customFormat="1" ht="21" x14ac:dyDescent="0.2">
      <c r="A50" s="149" t="s">
        <v>35</v>
      </c>
      <c r="B50" s="132">
        <f t="shared" si="3"/>
        <v>7328.9202990000003</v>
      </c>
      <c r="C50" s="132">
        <f t="shared" si="3"/>
        <v>7664.6</v>
      </c>
      <c r="D50" s="132">
        <f t="shared" si="3"/>
        <v>8124.6999999999989</v>
      </c>
      <c r="E50" s="132">
        <f>Таблица2246279101213145745[[#This Row],[Столбец2]]-Таблица2246279101213145745[[#This Row],[Столбец3]]</f>
        <v>795.77970099999857</v>
      </c>
      <c r="F50" s="132">
        <f>Таблица2246279101213145745[[#This Row],[Столбец4]]/Таблица2246279101213145745[[#This Row],[Столбец3]]*100</f>
        <v>104.58020673312278</v>
      </c>
      <c r="G50" s="132">
        <f t="shared" si="0"/>
        <v>5.7593300739471758</v>
      </c>
      <c r="H50" s="132">
        <f t="shared" si="1"/>
        <v>5.3246726180138255</v>
      </c>
    </row>
    <row r="51" spans="1:13" s="5" customFormat="1" ht="21" x14ac:dyDescent="0.2">
      <c r="A51" s="174" t="s">
        <v>28</v>
      </c>
      <c r="B51" s="164">
        <f>B58+B65+B79</f>
        <v>1509.3732150000001</v>
      </c>
      <c r="C51" s="164">
        <f>C58+C65+C79</f>
        <v>0</v>
      </c>
      <c r="D51" s="164">
        <f>D58+D65+D79</f>
        <v>0</v>
      </c>
      <c r="E51" s="164">
        <f>Таблица2246279101213145745[[#This Row],[Столбец2]]-Таблица2246279101213145745[[#This Row],[Столбец3]]</f>
        <v>-1509.3732150000001</v>
      </c>
      <c r="F51" s="164">
        <f>Таблица2246279101213145745[[#This Row],[Столбец4]]/Таблица2246279101213145745[[#This Row],[Столбец3]]*100</f>
        <v>0</v>
      </c>
      <c r="G51" s="164">
        <f t="shared" si="0"/>
        <v>1.1861199460916443</v>
      </c>
      <c r="H51" s="164">
        <f t="shared" si="1"/>
        <v>0</v>
      </c>
    </row>
    <row r="52" spans="1:13" s="5" customFormat="1" ht="21" x14ac:dyDescent="0.2">
      <c r="A52" s="153" t="s">
        <v>29</v>
      </c>
      <c r="B52" s="134">
        <f t="shared" si="3"/>
        <v>1625.1582180000003</v>
      </c>
      <c r="C52" s="134">
        <f t="shared" si="3"/>
        <v>1769.557227</v>
      </c>
      <c r="D52" s="134">
        <f t="shared" si="3"/>
        <v>1818.8342929999999</v>
      </c>
      <c r="E52" s="134">
        <f>Таблица2246279101213145745[[#This Row],[Столбец2]]-Таблица2246279101213145745[[#This Row],[Столбец3]]</f>
        <v>193.67607499999963</v>
      </c>
      <c r="F52" s="134">
        <f>Таблица2246279101213145745[[#This Row],[Столбец4]]/Таблица2246279101213145745[[#This Row],[Столбец3]]*100</f>
        <v>108.88522775202185</v>
      </c>
      <c r="G52" s="134">
        <f t="shared" si="0"/>
        <v>1.2771079801654972</v>
      </c>
      <c r="H52" s="134">
        <f t="shared" si="1"/>
        <v>1.229328720691931</v>
      </c>
    </row>
    <row r="53" spans="1:13" s="133" customFormat="1" ht="39.75" customHeight="1" x14ac:dyDescent="0.2">
      <c r="A53" s="151" t="s">
        <v>2</v>
      </c>
      <c r="B53" s="86">
        <f>SUM(B54,B58,B59)</f>
        <v>7210.3550690000002</v>
      </c>
      <c r="C53" s="86">
        <f>SUM(C54,C58,C59)</f>
        <v>7311.4572269999999</v>
      </c>
      <c r="D53" s="86">
        <f>SUM(D54,D58,D59)</f>
        <v>7807.3312930000011</v>
      </c>
      <c r="E53" s="86">
        <f>Таблица2246279101213145745[[#This Row],[Столбец2]]-Таблица2246279101213145745[[#This Row],[Столбец3]]</f>
        <v>596.97622400000091</v>
      </c>
      <c r="F53" s="86">
        <f>Таблица2246279101213145745[[#This Row],[Столбец4]]/Таблица2246279101213145745[[#This Row],[Столбец3]]*100</f>
        <v>101.40218001793941</v>
      </c>
      <c r="G53" s="86">
        <f t="shared" si="0"/>
        <v>5.6661572371574733</v>
      </c>
      <c r="H53" s="86">
        <f t="shared" si="1"/>
        <v>5.0793408781131681</v>
      </c>
    </row>
    <row r="54" spans="1:13" s="133" customFormat="1" ht="21" x14ac:dyDescent="0.2">
      <c r="A54" s="153" t="s">
        <v>27</v>
      </c>
      <c r="B54" s="154">
        <f>B55+B56+B57</f>
        <v>5552.3556260000005</v>
      </c>
      <c r="C54" s="167">
        <f>C55+C56+C57</f>
        <v>6071.7</v>
      </c>
      <c r="D54" s="167">
        <f>D55+D56+D57</f>
        <v>6529.9970000000012</v>
      </c>
      <c r="E54" s="154">
        <f>Таблица2246279101213145745[[#This Row],[Столбец2]]-Таблица2246279101213145745[[#This Row],[Столбец3]]</f>
        <v>977.64137400000072</v>
      </c>
      <c r="F54" s="154">
        <f>Таблица2246279101213145745[[#This Row],[Столбец4]]/Таблица2246279101213145745[[#This Row],[Столбец3]]*100</f>
        <v>109.35358627909326</v>
      </c>
      <c r="G54" s="154">
        <f t="shared" si="0"/>
        <v>4.3632414371370425</v>
      </c>
      <c r="H54" s="154">
        <f t="shared" si="1"/>
        <v>4.2180694015075204</v>
      </c>
    </row>
    <row r="55" spans="1:13" s="133" customFormat="1" ht="21" x14ac:dyDescent="0.2">
      <c r="A55" s="149" t="s">
        <v>33</v>
      </c>
      <c r="B55" s="132">
        <v>3622.8805670000002</v>
      </c>
      <c r="C55" s="168">
        <v>3985.1</v>
      </c>
      <c r="D55" s="168">
        <v>4346.6000000000004</v>
      </c>
      <c r="E55" s="132">
        <f>Таблица2246279101213145745[[#This Row],[Столбец2]]-Таблица2246279101213145745[[#This Row],[Столбец3]]</f>
        <v>723.71943300000021</v>
      </c>
      <c r="F55" s="132">
        <f>Таблица2246279101213145745[[#This Row],[Столбец4]]/Таблица2246279101213145745[[#This Row],[Столбец3]]*100</f>
        <v>109.99810582494422</v>
      </c>
      <c r="G55" s="132">
        <f t="shared" si="0"/>
        <v>2.8469903004251376</v>
      </c>
      <c r="H55" s="132">
        <f t="shared" si="1"/>
        <v>2.7684879641529752</v>
      </c>
      <c r="J55" s="137"/>
    </row>
    <row r="56" spans="1:13" s="133" customFormat="1" ht="21" x14ac:dyDescent="0.2">
      <c r="A56" s="149" t="s">
        <v>34</v>
      </c>
      <c r="B56" s="154">
        <v>397.33699999999999</v>
      </c>
      <c r="C56" s="167">
        <v>390.3</v>
      </c>
      <c r="D56" s="167">
        <v>470.79700000000003</v>
      </c>
      <c r="E56" s="154">
        <f>Таблица2246279101213145745[[#This Row],[Столбец2]]-Таблица2246279101213145745[[#This Row],[Столбец3]]</f>
        <v>73.460000000000036</v>
      </c>
      <c r="F56" s="154">
        <f>Таблица2246279101213145745[[#This Row],[Столбец4]]/Таблица2246279101213145745[[#This Row],[Столбец3]]*100</f>
        <v>98.228959296516564</v>
      </c>
      <c r="G56" s="154">
        <f t="shared" si="0"/>
        <v>0.31224175461482245</v>
      </c>
      <c r="H56" s="154">
        <f t="shared" si="1"/>
        <v>0.27114522908055161</v>
      </c>
    </row>
    <row r="57" spans="1:13" s="133" customFormat="1" ht="21" x14ac:dyDescent="0.2">
      <c r="A57" s="149" t="s">
        <v>35</v>
      </c>
      <c r="B57" s="132">
        <v>1532.1380590000001</v>
      </c>
      <c r="C57" s="168">
        <v>1696.3</v>
      </c>
      <c r="D57" s="168">
        <v>1712.6</v>
      </c>
      <c r="E57" s="132">
        <f>Таблица2246279101213145745[[#This Row],[Столбец2]]-Таблица2246279101213145745[[#This Row],[Столбец3]]</f>
        <v>180.4619409999998</v>
      </c>
      <c r="F57" s="132">
        <f>Таблица2246279101213145745[[#This Row],[Столбец4]]/Таблица2246279101213145745[[#This Row],[Столбец3]]*100</f>
        <v>110.71456583404407</v>
      </c>
      <c r="G57" s="132">
        <f t="shared" si="0"/>
        <v>1.2040093820970823</v>
      </c>
      <c r="H57" s="132">
        <f t="shared" si="1"/>
        <v>1.1784362082739934</v>
      </c>
    </row>
    <row r="58" spans="1:13" s="133" customFormat="1" ht="21" x14ac:dyDescent="0.2">
      <c r="A58" s="174" t="s">
        <v>28</v>
      </c>
      <c r="B58" s="164">
        <v>560.44070399999998</v>
      </c>
      <c r="C58" s="164"/>
      <c r="D58" s="164"/>
      <c r="E58" s="164">
        <f>Таблица2246279101213145745[[#This Row],[Столбец2]]-Таблица2246279101213145745[[#This Row],[Столбец3]]</f>
        <v>-560.44070399999998</v>
      </c>
      <c r="F58" s="164">
        <f>Таблица2246279101213145745[[#This Row],[Столбец4]]/Таблица2246279101213145745[[#This Row],[Столбец3]]*100</f>
        <v>0</v>
      </c>
      <c r="G58" s="164">
        <f t="shared" si="0"/>
        <v>0.44041453168098199</v>
      </c>
      <c r="H58" s="164">
        <f t="shared" si="1"/>
        <v>0</v>
      </c>
      <c r="M58" s="5"/>
    </row>
    <row r="59" spans="1:13" s="133" customFormat="1" ht="21" x14ac:dyDescent="0.2">
      <c r="A59" s="153" t="s">
        <v>29</v>
      </c>
      <c r="B59" s="134">
        <v>1097.5587390000001</v>
      </c>
      <c r="C59" s="165">
        <v>1239.7572270000001</v>
      </c>
      <c r="D59" s="165">
        <v>1277.3342929999999</v>
      </c>
      <c r="E59" s="134">
        <f>Таблица2246279101213145745[[#This Row],[Столбец2]]-Таблица2246279101213145745[[#This Row],[Столбец3]]</f>
        <v>179.77555399999983</v>
      </c>
      <c r="F59" s="134">
        <f>Таблица2246279101213145745[[#This Row],[Столбец4]]/Таблица2246279101213145745[[#This Row],[Столбец3]]*100</f>
        <v>112.95588864150987</v>
      </c>
      <c r="G59" s="134">
        <f t="shared" si="0"/>
        <v>0.86250126833944984</v>
      </c>
      <c r="H59" s="134">
        <f t="shared" si="1"/>
        <v>0.86127147660564807</v>
      </c>
    </row>
    <row r="60" spans="1:13" s="133" customFormat="1" ht="40.5" customHeight="1" x14ac:dyDescent="0.2">
      <c r="A60" s="151" t="s">
        <v>47</v>
      </c>
      <c r="B60" s="166">
        <f>SUM(B61,B65,B66)</f>
        <v>3343.0768000000003</v>
      </c>
      <c r="C60" s="166">
        <f>SUM(C61,C65,C66)</f>
        <v>2775.4</v>
      </c>
      <c r="D60" s="166">
        <f>SUM(D61,D65,D66)</f>
        <v>3096.2999999999997</v>
      </c>
      <c r="E60" s="86">
        <f>Таблица2246279101213145745[[#This Row],[Столбец2]]-Таблица2246279101213145745[[#This Row],[Столбец3]]</f>
        <v>-246.77680000000055</v>
      </c>
      <c r="F60" s="86">
        <f>Таблица2246279101213145745[[#This Row],[Столбец4]]/Таблица2246279101213145745[[#This Row],[Столбец3]]*100</f>
        <v>83.019331174204552</v>
      </c>
      <c r="G60" s="86">
        <f t="shared" si="0"/>
        <v>2.6271104021123275</v>
      </c>
      <c r="H60" s="86">
        <f t="shared" si="1"/>
        <v>1.9280975372538125</v>
      </c>
    </row>
    <row r="61" spans="1:13" s="136" customFormat="1" ht="21" x14ac:dyDescent="0.2">
      <c r="A61" s="153" t="s">
        <v>27</v>
      </c>
      <c r="B61" s="165">
        <f>SUM(B62:B64)</f>
        <v>2399.6386700000003</v>
      </c>
      <c r="C61" s="165">
        <f>SUM(C62:C64)</f>
        <v>2456.9</v>
      </c>
      <c r="D61" s="165">
        <f>SUM(D62:D64)</f>
        <v>2777.2</v>
      </c>
      <c r="E61" s="134">
        <f>Таблица2246279101213145745[[#This Row],[Столбец2]]-Таблица2246279101213145745[[#This Row],[Столбец3]]</f>
        <v>377.56132999999954</v>
      </c>
      <c r="F61" s="134">
        <f>Таблица2246279101213145745[[#This Row],[Столбец4]]/Таблица2246279101213145745[[#This Row],[Столбец3]]*100</f>
        <v>102.38624800958054</v>
      </c>
      <c r="G61" s="134">
        <f t="shared" si="0"/>
        <v>1.8857226705853696</v>
      </c>
      <c r="H61" s="134">
        <f t="shared" si="1"/>
        <v>1.7068324707353506</v>
      </c>
    </row>
    <row r="62" spans="1:13" s="133" customFormat="1" ht="21" x14ac:dyDescent="0.2">
      <c r="A62" s="149" t="s">
        <v>33</v>
      </c>
      <c r="B62" s="165">
        <v>1636.6378990000001</v>
      </c>
      <c r="C62" s="165">
        <v>1688.9</v>
      </c>
      <c r="D62" s="165">
        <v>1842.1</v>
      </c>
      <c r="E62" s="134">
        <f>Таблица2246279101213145745[[#This Row],[Столбец2]]-Таблица2246279101213145745[[#This Row],[Столбец3]]</f>
        <v>205.46210099999985</v>
      </c>
      <c r="F62" s="134">
        <f>Таблица2246279101213145745[[#This Row],[Столбец4]]/Таблица2246279101213145745[[#This Row],[Столбец3]]*100</f>
        <v>103.19325985497052</v>
      </c>
      <c r="G62" s="134">
        <f t="shared" si="0"/>
        <v>1.2861291278005234</v>
      </c>
      <c r="H62" s="134">
        <f t="shared" si="1"/>
        <v>1.1732953558650874</v>
      </c>
      <c r="J62" s="137"/>
    </row>
    <row r="63" spans="1:13" s="133" customFormat="1" ht="21" x14ac:dyDescent="0.2">
      <c r="A63" s="149" t="s">
        <v>34</v>
      </c>
      <c r="B63" s="167">
        <v>104.50700000000001</v>
      </c>
      <c r="C63" s="167">
        <v>102.6</v>
      </c>
      <c r="D63" s="167">
        <v>127.4</v>
      </c>
      <c r="E63" s="154">
        <f>Таблица2246279101213145745[[#This Row],[Столбец2]]-Таблица2246279101213145745[[#This Row],[Столбец3]]</f>
        <v>22.893000000000001</v>
      </c>
      <c r="F63" s="154">
        <f>Таблица2246279101213145745[[#This Row],[Столбец4]]/Таблица2246279101213145745[[#This Row],[Столбец3]]*100</f>
        <v>98.175241849828225</v>
      </c>
      <c r="G63" s="154">
        <f t="shared" si="0"/>
        <v>8.2125372289847787E-2</v>
      </c>
      <c r="H63" s="154">
        <f t="shared" si="1"/>
        <v>7.1277223939699194E-2</v>
      </c>
    </row>
    <row r="64" spans="1:13" s="133" customFormat="1" ht="21" x14ac:dyDescent="0.2">
      <c r="A64" s="149" t="s">
        <v>35</v>
      </c>
      <c r="B64" s="168">
        <v>658.49377100000004</v>
      </c>
      <c r="C64" s="168">
        <f>60.2+605.2</f>
        <v>665.40000000000009</v>
      </c>
      <c r="D64" s="168">
        <f>60.8+746.9</f>
        <v>807.69999999999993</v>
      </c>
      <c r="E64" s="132">
        <f>Таблица2246279101213145745[[#This Row],[Столбец2]]-Таблица2246279101213145745[[#This Row],[Столбец3]]</f>
        <v>149.20622899999989</v>
      </c>
      <c r="F64" s="132">
        <f>Таблица2246279101213145745[[#This Row],[Столбец4]]/Таблица2246279101213145745[[#This Row],[Столбец3]]*100</f>
        <v>101.04879184954356</v>
      </c>
      <c r="G64" s="132">
        <f t="shared" si="0"/>
        <v>0.51746817049499816</v>
      </c>
      <c r="H64" s="132">
        <f t="shared" si="1"/>
        <v>0.4622598909305638</v>
      </c>
      <c r="J64" s="137"/>
    </row>
    <row r="65" spans="1:20" s="133" customFormat="1" ht="21" x14ac:dyDescent="0.2">
      <c r="A65" s="174" t="s">
        <v>28</v>
      </c>
      <c r="B65" s="164">
        <v>627.376801</v>
      </c>
      <c r="C65" s="164"/>
      <c r="D65" s="164"/>
      <c r="E65" s="164">
        <f>Таблица2246279101213145745[[#This Row],[Столбец2]]-Таблица2246279101213145745[[#This Row],[Столбец3]]</f>
        <v>-627.376801</v>
      </c>
      <c r="F65" s="164">
        <f>Таблица2246279101213145745[[#This Row],[Столбец4]]/Таблица2246279101213145745[[#This Row],[Столбец3]]*100</f>
        <v>0</v>
      </c>
      <c r="G65" s="164">
        <f t="shared" si="0"/>
        <v>0.49301533244795798</v>
      </c>
      <c r="H65" s="164">
        <f t="shared" si="1"/>
        <v>0</v>
      </c>
    </row>
    <row r="66" spans="1:20" s="133" customFormat="1" ht="21" x14ac:dyDescent="0.2">
      <c r="A66" s="153" t="s">
        <v>29</v>
      </c>
      <c r="B66" s="165">
        <v>316.061329</v>
      </c>
      <c r="C66" s="165">
        <v>318.5</v>
      </c>
      <c r="D66" s="165">
        <v>319.10000000000002</v>
      </c>
      <c r="E66" s="134">
        <f>Таблица2246279101213145745[[#This Row],[Столбец2]]-Таблица2246279101213145745[[#This Row],[Столбец3]]</f>
        <v>3.0386710000000221</v>
      </c>
      <c r="F66" s="134">
        <f>Таблица2246279101213145745[[#This Row],[Столбец4]]/Таблица2246279101213145745[[#This Row],[Столбец3]]*100</f>
        <v>100.77158158124431</v>
      </c>
      <c r="G66" s="134">
        <f t="shared" si="0"/>
        <v>0.24837239907900011</v>
      </c>
      <c r="H66" s="134">
        <f t="shared" si="1"/>
        <v>0.22126506651846192</v>
      </c>
      <c r="K66" s="137"/>
    </row>
    <row r="67" spans="1:20" s="5" customFormat="1" ht="21" x14ac:dyDescent="0.2">
      <c r="A67" s="151" t="s">
        <v>3</v>
      </c>
      <c r="B67" s="86">
        <f>SUM(B68,B72,B73)</f>
        <v>4898.6308350000008</v>
      </c>
      <c r="C67" s="86">
        <f>SUM(C68,C72,C73)</f>
        <v>5057.1000000000004</v>
      </c>
      <c r="D67" s="86">
        <f>SUM(D68,D72,D73)</f>
        <v>5352.5999999999995</v>
      </c>
      <c r="E67" s="86">
        <f>Таблица2246279101213145745[[#This Row],[Столбец2]]-Таблица2246279101213145745[[#This Row],[Столбец3]]</f>
        <v>453.96916499999861</v>
      </c>
      <c r="F67" s="86">
        <f>Таблица2246279101213145745[[#This Row],[Столбец4]]/Таблица2246279101213145745[[#This Row],[Столбец3]]*100</f>
        <v>103.23496851135955</v>
      </c>
      <c r="G67" s="86">
        <f t="shared" si="0"/>
        <v>3.8495209032400028</v>
      </c>
      <c r="H67" s="86">
        <f t="shared" si="1"/>
        <v>3.5132168536593835</v>
      </c>
      <c r="T67" s="160"/>
    </row>
    <row r="68" spans="1:20" s="5" customFormat="1" ht="21" x14ac:dyDescent="0.2">
      <c r="A68" s="153" t="s">
        <v>27</v>
      </c>
      <c r="B68" s="154">
        <f>B69+B70+B71</f>
        <v>4720.3479400000006</v>
      </c>
      <c r="C68" s="154">
        <f>C69+C70+C71</f>
        <v>4878.5</v>
      </c>
      <c r="D68" s="154">
        <f>D69+D70+D71</f>
        <v>5163.8999999999996</v>
      </c>
      <c r="E68" s="154">
        <f>Таблица2246279101213145745[[#This Row],[Столбец2]]-Таблица2246279101213145745[[#This Row],[Столбец3]]</f>
        <v>443.55205999999907</v>
      </c>
      <c r="F68" s="154">
        <f>Таблица2246279101213145745[[#This Row],[Столбец4]]/Таблица2246279101213145745[[#This Row],[Столбец3]]*100</f>
        <v>103.35043225648319</v>
      </c>
      <c r="G68" s="154">
        <f t="shared" si="0"/>
        <v>3.7094197700643603</v>
      </c>
      <c r="H68" s="154">
        <f t="shared" si="1"/>
        <v>3.3891416860606483</v>
      </c>
    </row>
    <row r="69" spans="1:20" s="5" customFormat="1" ht="21" x14ac:dyDescent="0.2">
      <c r="A69" s="149" t="s">
        <v>33</v>
      </c>
      <c r="B69" s="134">
        <v>90.087340999999995</v>
      </c>
      <c r="C69" s="134">
        <v>94.5</v>
      </c>
      <c r="D69" s="134">
        <v>100.5</v>
      </c>
      <c r="E69" s="134">
        <f>Таблица2246279101213145745[[#This Row],[Столбец2]]-Таблица2246279101213145745[[#This Row],[Столбец3]]</f>
        <v>10.412659000000005</v>
      </c>
      <c r="F69" s="134">
        <f>Таблица2246279101213145745[[#This Row],[Столбец4]]/Таблица2246279101213145745[[#This Row],[Столбец3]]*100</f>
        <v>104.89820095811243</v>
      </c>
      <c r="G69" s="134">
        <f t="shared" si="0"/>
        <v>7.0793883837709126E-2</v>
      </c>
      <c r="H69" s="134">
        <f t="shared" si="1"/>
        <v>6.5650074681301879E-2</v>
      </c>
    </row>
    <row r="70" spans="1:20" s="5" customFormat="1" ht="21" x14ac:dyDescent="0.2">
      <c r="A70" s="149" t="s">
        <v>34</v>
      </c>
      <c r="B70" s="154">
        <v>17.5</v>
      </c>
      <c r="C70" s="154">
        <v>10.199999999999999</v>
      </c>
      <c r="D70" s="154">
        <v>17.600000000000001</v>
      </c>
      <c r="E70" s="154">
        <f>Таблица2246279101213145745[[#This Row],[Столбец2]]-Таблица2246279101213145745[[#This Row],[Столбец3]]</f>
        <v>0.10000000000000142</v>
      </c>
      <c r="F70" s="154">
        <f>Таблица2246279101213145745[[#This Row],[Столбец4]]/Таблица2246279101213145745[[#This Row],[Столбец3]]*100</f>
        <v>58.285714285714285</v>
      </c>
      <c r="G70" s="154">
        <f t="shared" si="0"/>
        <v>1.375213158039496E-2</v>
      </c>
      <c r="H70" s="154">
        <f t="shared" si="1"/>
        <v>7.0860398068706794E-3</v>
      </c>
    </row>
    <row r="71" spans="1:20" s="5" customFormat="1" ht="18.75" customHeight="1" x14ac:dyDescent="0.2">
      <c r="A71" s="149" t="s">
        <v>35</v>
      </c>
      <c r="B71" s="155">
        <v>4612.7605990000002</v>
      </c>
      <c r="C71" s="155">
        <f>6.6+4767.2</f>
        <v>4773.8</v>
      </c>
      <c r="D71" s="155">
        <f>6.9+5038.9</f>
        <v>5045.7999999999993</v>
      </c>
      <c r="E71" s="155">
        <f>Таблица2246279101213145745[[#This Row],[Столбец2]]-Таблица2246279101213145745[[#This Row],[Столбец3]]</f>
        <v>433.03940099999909</v>
      </c>
      <c r="F71" s="155">
        <f>Таблица2246279101213145745[[#This Row],[Столбец4]]/Таблица2246279101213145745[[#This Row],[Столбец3]]*100</f>
        <v>103.49117188164745</v>
      </c>
      <c r="G71" s="155">
        <f t="shared" si="0"/>
        <v>3.6248737546462557</v>
      </c>
      <c r="H71" s="155">
        <f t="shared" si="1"/>
        <v>3.3164055715724756</v>
      </c>
    </row>
    <row r="72" spans="1:20" s="5" customFormat="1" ht="24" hidden="1" customHeight="1" x14ac:dyDescent="0.2">
      <c r="A72" s="153" t="s">
        <v>28</v>
      </c>
      <c r="B72" s="134"/>
      <c r="C72" s="134"/>
      <c r="D72" s="134"/>
      <c r="E72" s="134">
        <f>Таблица2246279101213145745[[#This Row],[Столбец2]]-Таблица2246279101213145745[[#This Row],[Столбец3]]</f>
        <v>0</v>
      </c>
      <c r="F72" s="134" t="e">
        <f>Таблица2246279101213145745[[#This Row],[Столбец4]]/Таблица2246279101213145745[[#This Row],[Столбец3]]*100</f>
        <v>#DIV/0!</v>
      </c>
      <c r="G72" s="134">
        <f t="shared" si="0"/>
        <v>0</v>
      </c>
      <c r="H72" s="134">
        <f t="shared" si="1"/>
        <v>0</v>
      </c>
    </row>
    <row r="73" spans="1:20" s="5" customFormat="1" ht="21" x14ac:dyDescent="0.2">
      <c r="A73" s="153" t="s">
        <v>29</v>
      </c>
      <c r="B73" s="134">
        <v>178.282895</v>
      </c>
      <c r="C73" s="134">
        <v>178.6</v>
      </c>
      <c r="D73" s="134">
        <v>188.7</v>
      </c>
      <c r="E73" s="134">
        <f>Таблица2246279101213145745[[#This Row],[Столбец2]]-Таблица2246279101213145745[[#This Row],[Столбец3]]</f>
        <v>10.417104999999992</v>
      </c>
      <c r="F73" s="134">
        <f>Таблица2246279101213145745[[#This Row],[Столбец4]]/Таблица2246279101213145745[[#This Row],[Столбец3]]*100</f>
        <v>100.17786619406198</v>
      </c>
      <c r="G73" s="134">
        <f t="shared" si="0"/>
        <v>0.14010113317564221</v>
      </c>
      <c r="H73" s="134">
        <f t="shared" si="1"/>
        <v>0.12407516759873562</v>
      </c>
    </row>
    <row r="74" spans="1:20" s="5" customFormat="1" ht="36" customHeight="1" x14ac:dyDescent="0.2">
      <c r="A74" s="151" t="s">
        <v>10</v>
      </c>
      <c r="B74" s="135">
        <f>SUM(B75,B79,B80)</f>
        <v>1494.3483810000002</v>
      </c>
      <c r="C74" s="135">
        <f>SUM(C75,C79,C80)</f>
        <v>1168.3999999999999</v>
      </c>
      <c r="D74" s="135">
        <f>SUM(D75,D79,D80)</f>
        <v>1223.3</v>
      </c>
      <c r="E74" s="135">
        <f>Таблица2246279101213145745[[#This Row],[Столбец2]]-Таблица2246279101213145745[[#This Row],[Столбец3]]</f>
        <v>-271.04838100000029</v>
      </c>
      <c r="F74" s="135">
        <f>Таблица2246279101213145745[[#This Row],[Столбец4]]/Таблица2246279101213145745[[#This Row],[Столбец3]]*100</f>
        <v>78.187925577175008</v>
      </c>
      <c r="G74" s="135">
        <f t="shared" si="0"/>
        <v>1.1743128892835535</v>
      </c>
      <c r="H74" s="135">
        <f t="shared" si="1"/>
        <v>0.81169891277918638</v>
      </c>
    </row>
    <row r="75" spans="1:20" s="5" customFormat="1" ht="21" x14ac:dyDescent="0.2">
      <c r="A75" s="153" t="s">
        <v>27</v>
      </c>
      <c r="B75" s="154">
        <f>B76+B77+B78</f>
        <v>1139.5374160000001</v>
      </c>
      <c r="C75" s="154">
        <f>C76+C77+C78</f>
        <v>1135.6999999999998</v>
      </c>
      <c r="D75" s="154">
        <f>D76+D77+D78</f>
        <v>1189.5999999999999</v>
      </c>
      <c r="E75" s="154">
        <f>Таблица2246279101213145745[[#This Row],[Столбец2]]-Таблица2246279101213145745[[#This Row],[Столбец3]]</f>
        <v>50.062583999999788</v>
      </c>
      <c r="F75" s="154">
        <f>Таблица2246279101213145745[[#This Row],[Столбец4]]/Таблица2246279101213145745[[#This Row],[Столбец3]]*100</f>
        <v>99.663247915678767</v>
      </c>
      <c r="G75" s="154">
        <f t="shared" si="0"/>
        <v>0.89548962774944407</v>
      </c>
      <c r="H75" s="154">
        <f t="shared" si="1"/>
        <v>0.78898190281010105</v>
      </c>
    </row>
    <row r="76" spans="1:20" s="5" customFormat="1" ht="21" x14ac:dyDescent="0.2">
      <c r="A76" s="149" t="s">
        <v>33</v>
      </c>
      <c r="B76" s="134">
        <v>244.87054599999999</v>
      </c>
      <c r="C76" s="134">
        <v>246.7</v>
      </c>
      <c r="D76" s="134">
        <v>247.6</v>
      </c>
      <c r="E76" s="134">
        <f>Таблица2246279101213145745[[#This Row],[Столбец2]]-Таблица2246279101213145745[[#This Row],[Столбец3]]</f>
        <v>2.729454000000004</v>
      </c>
      <c r="F76" s="134">
        <f>Таблица2246279101213145745[[#This Row],[Столбец4]]/Таблица2246279101213145745[[#This Row],[Столбец3]]*100</f>
        <v>100.74711067945263</v>
      </c>
      <c r="G76" s="134">
        <f t="shared" ref="G76:G135" si="4">B76/$B$7*100</f>
        <v>0.19242811250029468</v>
      </c>
      <c r="H76" s="134">
        <f t="shared" ref="H76:H135" si="5">C76/$C$7*100</f>
        <v>0.17138490395637224</v>
      </c>
      <c r="K76" s="125"/>
    </row>
    <row r="77" spans="1:20" s="5" customFormat="1" ht="21" x14ac:dyDescent="0.2">
      <c r="A77" s="149" t="s">
        <v>34</v>
      </c>
      <c r="B77" s="154">
        <v>369.13900000000001</v>
      </c>
      <c r="C77" s="154">
        <v>359.9</v>
      </c>
      <c r="D77" s="154">
        <v>383.4</v>
      </c>
      <c r="E77" s="154">
        <f>Таблица2246279101213145745[[#This Row],[Столбец2]]-Таблица2246279101213145745[[#This Row],[Столбец3]]</f>
        <v>14.260999999999967</v>
      </c>
      <c r="F77" s="154">
        <f>Таблица2246279101213145745[[#This Row],[Столбец4]]/Таблица2246279101213145745[[#This Row],[Столбец3]]*100</f>
        <v>97.497148770517327</v>
      </c>
      <c r="G77" s="154">
        <f t="shared" si="4"/>
        <v>0.29008274854030947</v>
      </c>
      <c r="H77" s="154">
        <f t="shared" si="5"/>
        <v>0.25002605161693703</v>
      </c>
    </row>
    <row r="78" spans="1:20" s="5" customFormat="1" ht="21" x14ac:dyDescent="0.2">
      <c r="A78" s="149" t="s">
        <v>35</v>
      </c>
      <c r="B78" s="132">
        <v>525.52787000000001</v>
      </c>
      <c r="C78" s="132">
        <v>529.1</v>
      </c>
      <c r="D78" s="132">
        <v>558.6</v>
      </c>
      <c r="E78" s="132">
        <f>Таблица2246279101213145745[[#This Row],[Столбец2]]-Таблица2246279101213145745[[#This Row],[Столбец3]]</f>
        <v>33.072130000000016</v>
      </c>
      <c r="F78" s="132">
        <f>Таблица2246279101213145745[[#This Row],[Столбец4]]/Таблица2246279101213145745[[#This Row],[Столбец3]]*100</f>
        <v>100.67972227619441</v>
      </c>
      <c r="G78" s="132">
        <f t="shared" si="4"/>
        <v>0.41297876670883987</v>
      </c>
      <c r="H78" s="132">
        <f t="shared" si="5"/>
        <v>0.36757094723679185</v>
      </c>
    </row>
    <row r="79" spans="1:20" s="6" customFormat="1" ht="21" x14ac:dyDescent="0.2">
      <c r="A79" s="174" t="s">
        <v>28</v>
      </c>
      <c r="B79" s="164">
        <v>321.55570999999998</v>
      </c>
      <c r="C79" s="164"/>
      <c r="D79" s="164"/>
      <c r="E79" s="164">
        <f>Таблица2246279101213145745[[#This Row],[Столбец2]]-Таблица2246279101213145745[[#This Row],[Столбец3]]</f>
        <v>-321.55570999999998</v>
      </c>
      <c r="F79" s="164">
        <f>Таблица2246279101213145745[[#This Row],[Столбец4]]/Таблица2246279101213145745[[#This Row],[Столбец3]]*100</f>
        <v>0</v>
      </c>
      <c r="G79" s="164">
        <f t="shared" si="4"/>
        <v>0.2526900819627042</v>
      </c>
      <c r="H79" s="164">
        <f t="shared" si="5"/>
        <v>0</v>
      </c>
    </row>
    <row r="80" spans="1:20" s="5" customFormat="1" ht="21" x14ac:dyDescent="0.2">
      <c r="A80" s="153" t="s">
        <v>29</v>
      </c>
      <c r="B80" s="134">
        <v>33.255254999999998</v>
      </c>
      <c r="C80" s="134">
        <v>32.700000000000003</v>
      </c>
      <c r="D80" s="134">
        <v>33.700000000000003</v>
      </c>
      <c r="E80" s="134">
        <f>Таблица2246279101213145745[[#This Row],[Столбец2]]-Таблица2246279101213145745[[#This Row],[Столбец3]]</f>
        <v>0.44474500000000461</v>
      </c>
      <c r="F80" s="134">
        <f>Таблица2246279101213145745[[#This Row],[Столбец4]]/Таблица2246279101213145745[[#This Row],[Столбец3]]*100</f>
        <v>98.330324034502226</v>
      </c>
      <c r="G80" s="134">
        <f t="shared" si="4"/>
        <v>2.6133179571404996E-2</v>
      </c>
      <c r="H80" s="134">
        <f t="shared" si="5"/>
        <v>2.2717009969085416E-2</v>
      </c>
    </row>
    <row r="81" spans="1:10" s="5" customFormat="1" ht="38.25" customHeight="1" x14ac:dyDescent="0.2">
      <c r="A81" s="151" t="s">
        <v>13</v>
      </c>
      <c r="B81" s="135">
        <f>SUM(B82,B86,B87)</f>
        <v>12581.308802999998</v>
      </c>
      <c r="C81" s="135">
        <f>SUM(C82,C86,C87)</f>
        <v>5077.4840939999995</v>
      </c>
      <c r="D81" s="135">
        <f>SUM(D82,D86,D87)</f>
        <v>5559.3779389999991</v>
      </c>
      <c r="E81" s="135">
        <f>Таблица2246279101213145745[[#This Row],[Столбец2]]-Таблица2246279101213145745[[#This Row],[Столбец3]]</f>
        <v>-7021.930863999999</v>
      </c>
      <c r="F81" s="135">
        <f>Таблица2246279101213145745[[#This Row],[Столбец4]]/Таблица2246279101213145745[[#This Row],[Столбец3]]*100</f>
        <v>40.357360060896681</v>
      </c>
      <c r="G81" s="135">
        <f t="shared" si="4"/>
        <v>9.8868465207107086</v>
      </c>
      <c r="H81" s="135">
        <f t="shared" si="5"/>
        <v>3.5273778832192848</v>
      </c>
      <c r="J81" s="125"/>
    </row>
    <row r="82" spans="1:10" s="5" customFormat="1" ht="21" x14ac:dyDescent="0.2">
      <c r="A82" s="153" t="s">
        <v>27</v>
      </c>
      <c r="B82" s="134">
        <f t="shared" ref="B82:D83" si="6">B89+B96+B103+B110+B116+B123</f>
        <v>4929.2415039999996</v>
      </c>
      <c r="C82" s="134">
        <f t="shared" si="6"/>
        <v>4894.3569209999996</v>
      </c>
      <c r="D82" s="134">
        <f t="shared" si="6"/>
        <v>5373.9657659999993</v>
      </c>
      <c r="E82" s="134">
        <f>Таблица2246279101213145745[[#This Row],[Столбец2]]-Таблица2246279101213145745[[#This Row],[Столбец3]]</f>
        <v>444.72426199999973</v>
      </c>
      <c r="F82" s="134">
        <f>Таблица2246279101213145745[[#This Row],[Столбец4]]/Таблица2246279101213145745[[#This Row],[Столбец3]]*100</f>
        <v>99.292293084611657</v>
      </c>
      <c r="G82" s="134">
        <f t="shared" si="4"/>
        <v>3.8735758716886828</v>
      </c>
      <c r="H82" s="134">
        <f t="shared" si="5"/>
        <v>3.400157644239119</v>
      </c>
      <c r="J82" s="125"/>
    </row>
    <row r="83" spans="1:10" s="5" customFormat="1" ht="21" x14ac:dyDescent="0.2">
      <c r="A83" s="149" t="s">
        <v>33</v>
      </c>
      <c r="B83" s="134">
        <f t="shared" si="6"/>
        <v>389.01960300000002</v>
      </c>
      <c r="C83" s="134">
        <f t="shared" si="6"/>
        <v>390.713393</v>
      </c>
      <c r="D83" s="134">
        <f t="shared" si="6"/>
        <v>392.67842299999995</v>
      </c>
      <c r="E83" s="134">
        <f>Таблица2246279101213145745[[#This Row],[Столбец2]]-Таблица2246279101213145745[[#This Row],[Столбец3]]</f>
        <v>3.6588199999999347</v>
      </c>
      <c r="F83" s="134">
        <f>Таблица2246279101213145745[[#This Row],[Столбец4]]/Таблица2246279101213145745[[#This Row],[Столбец3]]*100</f>
        <v>100.43539965259795</v>
      </c>
      <c r="G83" s="134">
        <f t="shared" si="4"/>
        <v>0.30570564387480059</v>
      </c>
      <c r="H83" s="134">
        <f t="shared" si="5"/>
        <v>0.27143241724269684</v>
      </c>
    </row>
    <row r="84" spans="1:10" s="5" customFormat="1" ht="21" x14ac:dyDescent="0.2">
      <c r="A84" s="149" t="s">
        <v>34</v>
      </c>
      <c r="B84" s="134">
        <f>B91+B98+B105+B112+B118</f>
        <v>3169.0239999999994</v>
      </c>
      <c r="C84" s="134">
        <f>C91+C98+C105+C112+C118</f>
        <v>3115.3761100000002</v>
      </c>
      <c r="D84" s="134">
        <f>D91+D98+D105+D112+D118</f>
        <v>3508.2079999999996</v>
      </c>
      <c r="E84" s="134">
        <f>Таблица2246279101213145745[[#This Row],[Столбец2]]-Таблица2246279101213145745[[#This Row],[Столбец3]]</f>
        <v>339.1840000000002</v>
      </c>
      <c r="F84" s="134">
        <f>Таблица2246279101213145745[[#This Row],[Столбец4]]/Таблица2246279101213145745[[#This Row],[Столбец3]]*100</f>
        <v>98.307116323511607</v>
      </c>
      <c r="G84" s="134">
        <f t="shared" si="4"/>
        <v>2.4903334302531173</v>
      </c>
      <c r="H84" s="134">
        <f t="shared" si="5"/>
        <v>2.1642822675327382</v>
      </c>
    </row>
    <row r="85" spans="1:10" s="5" customFormat="1" ht="21" x14ac:dyDescent="0.2">
      <c r="A85" s="149" t="s">
        <v>35</v>
      </c>
      <c r="B85" s="132">
        <f>B92+B99+B106+B113+B119+B125</f>
        <v>1371.197901</v>
      </c>
      <c r="C85" s="132">
        <f>C92+C99+C106+C113+C119+C125</f>
        <v>1388.2674179999999</v>
      </c>
      <c r="D85" s="132">
        <f>D92+D99+D106+D113+D119+D125</f>
        <v>1473.0793429999999</v>
      </c>
      <c r="E85" s="132">
        <f>Таблица2246279101213145745[[#This Row],[Столбец2]]-Таблица2246279101213145745[[#This Row],[Столбец3]]</f>
        <v>101.88144199999988</v>
      </c>
      <c r="F85" s="132">
        <f>Таблица2246279101213145745[[#This Row],[Столбец4]]/Таблица2246279101213145745[[#This Row],[Столбец3]]*100</f>
        <v>101.24486166348061</v>
      </c>
      <c r="G85" s="132">
        <f t="shared" si="4"/>
        <v>1.0775367975607648</v>
      </c>
      <c r="H85" s="132">
        <f t="shared" si="5"/>
        <v>0.96444295946368397</v>
      </c>
    </row>
    <row r="86" spans="1:10" s="5" customFormat="1" ht="21" x14ac:dyDescent="0.2">
      <c r="A86" s="174" t="s">
        <v>28</v>
      </c>
      <c r="B86" s="164">
        <f>B93+B100+B107+B120</f>
        <v>7510.7049319999996</v>
      </c>
      <c r="C86" s="164">
        <f>C93+C100+C107+C120</f>
        <v>0</v>
      </c>
      <c r="D86" s="164">
        <f>D93+D100+D107+D120</f>
        <v>0</v>
      </c>
      <c r="E86" s="164">
        <f>Таблица2246279101213145745[[#This Row],[Столбец2]]-Таблица2246279101213145745[[#This Row],[Столбец3]]</f>
        <v>-7510.7049319999996</v>
      </c>
      <c r="F86" s="164">
        <f>Таблица2246279101213145745[[#This Row],[Столбец4]]/Таблица2246279101213145745[[#This Row],[Столбец3]]*100</f>
        <v>0</v>
      </c>
      <c r="G86" s="164">
        <f t="shared" si="4"/>
        <v>5.9021829992220223</v>
      </c>
      <c r="H86" s="164">
        <f t="shared" si="5"/>
        <v>0</v>
      </c>
    </row>
    <row r="87" spans="1:10" s="5" customFormat="1" ht="21" x14ac:dyDescent="0.2">
      <c r="A87" s="153" t="s">
        <v>29</v>
      </c>
      <c r="B87" s="134">
        <f>B94+B101+B108+B114+B121</f>
        <v>141.36236700000001</v>
      </c>
      <c r="C87" s="134">
        <f>C94+C101+C108+C114+C121</f>
        <v>183.127173</v>
      </c>
      <c r="D87" s="134">
        <f>D94+D101+D108+D114+D121</f>
        <v>185.412173</v>
      </c>
      <c r="E87" s="134">
        <f>Таблица2246279101213145745[[#This Row],[Столбец2]]-Таблица2246279101213145745[[#This Row],[Столбец3]]</f>
        <v>44.04980599999999</v>
      </c>
      <c r="F87" s="134">
        <f>Таблица2246279101213145745[[#This Row],[Столбец4]]/Таблица2246279101213145745[[#This Row],[Столбец3]]*100</f>
        <v>129.54450104814669</v>
      </c>
      <c r="G87" s="134">
        <f t="shared" si="4"/>
        <v>0.11108764980000473</v>
      </c>
      <c r="H87" s="134">
        <f t="shared" si="5"/>
        <v>0.12722023898016604</v>
      </c>
    </row>
    <row r="88" spans="1:10" s="6" customFormat="1" ht="42" x14ac:dyDescent="0.2">
      <c r="A88" s="151" t="s">
        <v>11</v>
      </c>
      <c r="B88" s="171">
        <f>SUM(B89,B93,B94)</f>
        <v>1696.5845159999999</v>
      </c>
      <c r="C88" s="135">
        <f>SUM(C89,C93,C94)</f>
        <v>1011.7484299999999</v>
      </c>
      <c r="D88" s="135">
        <f>SUM(D89,D93,D94)</f>
        <v>1079.891005</v>
      </c>
      <c r="E88" s="135">
        <f>Таблица2246279101213145745[[#This Row],[Столбец2]]-Таблица2246279101213145745[[#This Row],[Столбец3]]</f>
        <v>-616.69351099999994</v>
      </c>
      <c r="F88" s="135">
        <f>Таблица2246279101213145745[[#This Row],[Столбец4]]/Таблица2246279101213145745[[#This Row],[Столбец3]]*100</f>
        <v>59.634425544881019</v>
      </c>
      <c r="G88" s="135">
        <f t="shared" si="4"/>
        <v>1.3332373429310114</v>
      </c>
      <c r="H88" s="135">
        <f t="shared" si="5"/>
        <v>0.70287153426656002</v>
      </c>
    </row>
    <row r="89" spans="1:10" s="5" customFormat="1" ht="21" x14ac:dyDescent="0.2">
      <c r="A89" s="153" t="s">
        <v>27</v>
      </c>
      <c r="B89" s="154">
        <f>B90+B91+B92</f>
        <v>941.92801699999995</v>
      </c>
      <c r="C89" s="154">
        <f>C90+C91+C92</f>
        <v>934.0626279999999</v>
      </c>
      <c r="D89" s="154">
        <f>D90+D91+D92</f>
        <v>1000.964654</v>
      </c>
      <c r="E89" s="154">
        <f>Таблица2246279101213145745[[#This Row],[Столбец2]]-Таблица2246279101213145745[[#This Row],[Столбец3]]</f>
        <v>59.036637000000042</v>
      </c>
      <c r="F89" s="154">
        <f>Таблица2246279101213145745[[#This Row],[Столбец4]]/Таблица2246279101213145745[[#This Row],[Столбец3]]*100</f>
        <v>99.164969205921807</v>
      </c>
      <c r="G89" s="154">
        <f t="shared" si="4"/>
        <v>0.74020103023111439</v>
      </c>
      <c r="H89" s="154">
        <f t="shared" si="5"/>
        <v>0.64890244746257242</v>
      </c>
    </row>
    <row r="90" spans="1:10" s="133" customFormat="1" ht="21" x14ac:dyDescent="0.2">
      <c r="A90" s="149" t="s">
        <v>33</v>
      </c>
      <c r="B90" s="154">
        <v>194.58434600000001</v>
      </c>
      <c r="C90" s="154">
        <v>194.671482</v>
      </c>
      <c r="D90" s="154">
        <v>194.960002</v>
      </c>
      <c r="E90" s="154">
        <f>Таблица2246279101213145745[[#This Row],[Столбец2]]-Таблица2246279101213145745[[#This Row],[Столбец3]]</f>
        <v>0.37565599999999222</v>
      </c>
      <c r="F90" s="154">
        <f>Таблица2246279101213145745[[#This Row],[Столбец4]]/Таблица2246279101213145745[[#This Row],[Столбец3]]*100</f>
        <v>100.04478058065369</v>
      </c>
      <c r="G90" s="154">
        <f t="shared" si="4"/>
        <v>0.15291140169583431</v>
      </c>
      <c r="H90" s="154">
        <f t="shared" si="5"/>
        <v>0.13524018340338323</v>
      </c>
    </row>
    <row r="91" spans="1:10" s="133" customFormat="1" ht="21" x14ac:dyDescent="0.2">
      <c r="A91" s="149" t="s">
        <v>34</v>
      </c>
      <c r="B91" s="154">
        <v>167.09100000000001</v>
      </c>
      <c r="C91" s="154">
        <v>156.559</v>
      </c>
      <c r="D91" s="154">
        <v>181.06399999999999</v>
      </c>
      <c r="E91" s="154">
        <f>Таблица2246279101213145745[[#This Row],[Столбец2]]-Таблица2246279101213145745[[#This Row],[Столбец3]]</f>
        <v>13.972999999999985</v>
      </c>
      <c r="F91" s="154">
        <f>Таблица2246279101213145745[[#This Row],[Столбец4]]/Таблица2246279101213145745[[#This Row],[Столбец3]]*100</f>
        <v>93.696847825436436</v>
      </c>
      <c r="G91" s="154">
        <f t="shared" si="4"/>
        <v>0.13130613816570141</v>
      </c>
      <c r="H91" s="154">
        <f t="shared" si="5"/>
        <v>0.10876306922783006</v>
      </c>
    </row>
    <row r="92" spans="1:10" s="133" customFormat="1" ht="21" x14ac:dyDescent="0.2">
      <c r="A92" s="149" t="s">
        <v>35</v>
      </c>
      <c r="B92" s="132">
        <v>580.25267099999996</v>
      </c>
      <c r="C92" s="132">
        <f>582.832146</f>
        <v>582.83214599999997</v>
      </c>
      <c r="D92" s="132">
        <f>624.940652</f>
        <v>624.940652</v>
      </c>
      <c r="E92" s="132">
        <f>Таблица2246279101213145745[[#This Row],[Столбец2]]-Таблица2246279101213145745[[#This Row],[Столбец3]]</f>
        <v>44.687981000000036</v>
      </c>
      <c r="F92" s="132">
        <f>Таблица2246279101213145745[[#This Row],[Столбец4]]/Таблица2246279101213145745[[#This Row],[Столбец3]]*100</f>
        <v>100.44454340822844</v>
      </c>
      <c r="G92" s="132">
        <f t="shared" si="4"/>
        <v>0.45598349036957869</v>
      </c>
      <c r="H92" s="132">
        <f t="shared" si="5"/>
        <v>0.40489919483135917</v>
      </c>
    </row>
    <row r="93" spans="1:10" s="133" customFormat="1" ht="21" x14ac:dyDescent="0.2">
      <c r="A93" s="174" t="s">
        <v>28</v>
      </c>
      <c r="B93" s="164">
        <v>686.57327899999996</v>
      </c>
      <c r="C93" s="164"/>
      <c r="D93" s="164"/>
      <c r="E93" s="164">
        <f>Таблица2246279101213145745[[#This Row],[Столбец2]]-Таблица2246279101213145745[[#This Row],[Столбец3]]</f>
        <v>-686.57327899999996</v>
      </c>
      <c r="F93" s="164">
        <f>Таблица2246279101213145745[[#This Row],[Столбец4]]/Таблица2246279101213145745[[#This Row],[Столбец3]]*100</f>
        <v>0</v>
      </c>
      <c r="G93" s="164">
        <f t="shared" si="4"/>
        <v>0.53953406127949821</v>
      </c>
      <c r="H93" s="164">
        <f t="shared" si="5"/>
        <v>0</v>
      </c>
    </row>
    <row r="94" spans="1:10" s="133" customFormat="1" ht="21" x14ac:dyDescent="0.2">
      <c r="A94" s="153" t="s">
        <v>29</v>
      </c>
      <c r="B94" s="134">
        <v>68.083219999999997</v>
      </c>
      <c r="C94" s="134">
        <v>77.685801999999995</v>
      </c>
      <c r="D94" s="134">
        <v>78.926350999999997</v>
      </c>
      <c r="E94" s="134">
        <f>Таблица2246279101213145745[[#This Row],[Столбец2]]-Таблица2246279101213145745[[#This Row],[Столбец3]]</f>
        <v>10.843131</v>
      </c>
      <c r="F94" s="134">
        <f>Таблица2246279101213145745[[#This Row],[Столбец4]]/Таблица2246279101213145745[[#This Row],[Столбец3]]*100</f>
        <v>114.10418308652264</v>
      </c>
      <c r="G94" s="134">
        <f t="shared" si="4"/>
        <v>5.3502251420398737E-2</v>
      </c>
      <c r="H94" s="134">
        <f t="shared" si="5"/>
        <v>5.3969086803987633E-2</v>
      </c>
    </row>
    <row r="95" spans="1:10" s="133" customFormat="1" ht="21" x14ac:dyDescent="0.2">
      <c r="A95" s="151" t="s">
        <v>4</v>
      </c>
      <c r="B95" s="171">
        <f>SUM(B96,B100,B101)</f>
        <v>5991.354969</v>
      </c>
      <c r="C95" s="135">
        <f>SUM(C96,C100,C101)</f>
        <v>2574.21236</v>
      </c>
      <c r="D95" s="135">
        <f>SUM(D96,D100,D101)</f>
        <v>2898.2537299999999</v>
      </c>
      <c r="E95" s="135">
        <f>Таблица2246279101213145745[[#This Row],[Столбец2]]-Таблица2246279101213145745[[#This Row],[Столбец3]]</f>
        <v>-3093.1012390000001</v>
      </c>
      <c r="F95" s="135">
        <f>Таблица2246279101213145745[[#This Row],[Столбец4]]/Таблица2246279101213145745[[#This Row],[Столбец3]]*100</f>
        <v>42.965445601525666</v>
      </c>
      <c r="G95" s="135">
        <f t="shared" si="4"/>
        <v>4.7082229644880673</v>
      </c>
      <c r="H95" s="135">
        <f t="shared" si="5"/>
        <v>1.7883305151273055</v>
      </c>
    </row>
    <row r="96" spans="1:10" s="133" customFormat="1" ht="21" x14ac:dyDescent="0.2">
      <c r="A96" s="153" t="s">
        <v>27</v>
      </c>
      <c r="B96" s="154">
        <f>B97+B98+B99</f>
        <v>2592.6795899999997</v>
      </c>
      <c r="C96" s="154">
        <f>C97+C98+C99</f>
        <v>2568.9606199999998</v>
      </c>
      <c r="D96" s="154">
        <f>D97+D98+D99</f>
        <v>2892.9746299999997</v>
      </c>
      <c r="E96" s="154">
        <f>Таблица2246279101213145745[[#This Row],[Столбец2]]-Таблица2246279101213145745[[#This Row],[Столбец3]]</f>
        <v>300.29503999999997</v>
      </c>
      <c r="F96" s="154">
        <f>Таблица2246279101213145745[[#This Row],[Столбец4]]/Таблица2246279101213145745[[#This Row],[Столбец3]]*100</f>
        <v>99.085156141488355</v>
      </c>
      <c r="G96" s="154">
        <f t="shared" si="4"/>
        <v>2.0374211924276833</v>
      </c>
      <c r="H96" s="154">
        <f t="shared" si="5"/>
        <v>1.7846820799610961</v>
      </c>
    </row>
    <row r="97" spans="1:8" s="133" customFormat="1" ht="21" x14ac:dyDescent="0.2">
      <c r="A97" s="149" t="s">
        <v>33</v>
      </c>
      <c r="B97" s="134">
        <v>10.937844</v>
      </c>
      <c r="C97" s="134">
        <v>10.993169999999999</v>
      </c>
      <c r="D97" s="134">
        <v>11.10544</v>
      </c>
      <c r="E97" s="134">
        <f>Таблица2246279101213145745[[#This Row],[Столбец2]]-Таблица2246279101213145745[[#This Row],[Столбец3]]</f>
        <v>0.16759599999999963</v>
      </c>
      <c r="F97" s="134">
        <f>Таблица2246279101213145745[[#This Row],[Столбец4]]/Таблица2246279101213145745[[#This Row],[Столбец3]]*100</f>
        <v>100.50582180546732</v>
      </c>
      <c r="G97" s="134">
        <f t="shared" si="4"/>
        <v>8.5953525653619158E-3</v>
      </c>
      <c r="H97" s="134">
        <f t="shared" si="5"/>
        <v>7.6370627670290731E-3</v>
      </c>
    </row>
    <row r="98" spans="1:8" s="133" customFormat="1" ht="21" x14ac:dyDescent="0.2">
      <c r="A98" s="149" t="s">
        <v>34</v>
      </c>
      <c r="B98" s="154">
        <v>2576.1</v>
      </c>
      <c r="C98" s="154">
        <v>2552.1952999999999</v>
      </c>
      <c r="D98" s="154">
        <v>2876.1</v>
      </c>
      <c r="E98" s="154">
        <f>Таблица2246279101213145745[[#This Row],[Столбец2]]-Таблица2246279101213145745[[#This Row],[Столбец3]]</f>
        <v>300</v>
      </c>
      <c r="F98" s="154">
        <f>Таблица2246279101213145745[[#This Row],[Столбец4]]/Таблица2246279101213145745[[#This Row],[Столбец3]]*100</f>
        <v>99.072058538100222</v>
      </c>
      <c r="G98" s="154">
        <f t="shared" si="4"/>
        <v>2.024392352243169</v>
      </c>
      <c r="H98" s="154">
        <f t="shared" si="5"/>
        <v>1.7730350481086523</v>
      </c>
    </row>
    <row r="99" spans="1:8" s="133" customFormat="1" ht="21" x14ac:dyDescent="0.2">
      <c r="A99" s="149" t="s">
        <v>35</v>
      </c>
      <c r="B99" s="132">
        <v>5.6417460000000004</v>
      </c>
      <c r="C99" s="132">
        <f>5.77215</f>
        <v>5.7721499999999999</v>
      </c>
      <c r="D99" s="132">
        <f>5.76919</f>
        <v>5.76919</v>
      </c>
      <c r="E99" s="132">
        <f>Таблица2246279101213145745[[#This Row],[Столбец2]]-Таблица2246279101213145745[[#This Row],[Столбец3]]</f>
        <v>0.12744399999999967</v>
      </c>
      <c r="F99" s="132">
        <f>Таблица2246279101213145745[[#This Row],[Столбец4]]/Таблица2246279101213145745[[#This Row],[Столбец3]]*100</f>
        <v>102.3114121054014</v>
      </c>
      <c r="G99" s="132">
        <f t="shared" si="4"/>
        <v>4.4334876191523976E-3</v>
      </c>
      <c r="H99" s="132">
        <f t="shared" si="5"/>
        <v>4.0099690854145673E-3</v>
      </c>
    </row>
    <row r="100" spans="1:8" s="133" customFormat="1" ht="21" x14ac:dyDescent="0.2">
      <c r="A100" s="174" t="s">
        <v>28</v>
      </c>
      <c r="B100" s="164">
        <v>3394.6629389999998</v>
      </c>
      <c r="C100" s="164"/>
      <c r="D100" s="164"/>
      <c r="E100" s="164">
        <f>Таблица2246279101213145745[[#This Row],[Столбец2]]-Таблица2246279101213145745[[#This Row],[Столбец3]]</f>
        <v>-3394.6629389999998</v>
      </c>
      <c r="F100" s="164">
        <f>Таблица2246279101213145745[[#This Row],[Столбец4]]/Таблица2246279101213145745[[#This Row],[Столбец3]]*100</f>
        <v>0</v>
      </c>
      <c r="G100" s="164">
        <f t="shared" si="4"/>
        <v>2.6676486518981872</v>
      </c>
      <c r="H100" s="164">
        <f t="shared" si="5"/>
        <v>0</v>
      </c>
    </row>
    <row r="101" spans="1:8" s="133" customFormat="1" ht="21" x14ac:dyDescent="0.2">
      <c r="A101" s="153" t="s">
        <v>29</v>
      </c>
      <c r="B101" s="154">
        <v>4.0124399999999998</v>
      </c>
      <c r="C101" s="154">
        <v>5.2517399999999999</v>
      </c>
      <c r="D101" s="154">
        <v>5.2790999999999997</v>
      </c>
      <c r="E101" s="154">
        <f>Таблица2246279101213145745[[#This Row],[Столбец2]]-Таблица2246279101213145745[[#This Row],[Столбец3]]</f>
        <v>1.2666599999999999</v>
      </c>
      <c r="F101" s="154">
        <f>Таблица2246279101213145745[[#This Row],[Столбец4]]/Таблица2246279101213145745[[#This Row],[Столбец3]]*100</f>
        <v>130.88644316176692</v>
      </c>
      <c r="G101" s="154">
        <f t="shared" si="4"/>
        <v>3.1531201621965693E-3</v>
      </c>
      <c r="H101" s="154">
        <f t="shared" si="5"/>
        <v>3.6484351662093161E-3</v>
      </c>
    </row>
    <row r="102" spans="1:8" s="133" customFormat="1" ht="33" customHeight="1" x14ac:dyDescent="0.2">
      <c r="A102" s="151" t="s">
        <v>5</v>
      </c>
      <c r="B102" s="171">
        <f>SUM(B103,B107,B108)</f>
        <v>1620.738914</v>
      </c>
      <c r="C102" s="135">
        <f>SUM(C103,C107,C108)</f>
        <v>292.62464500000004</v>
      </c>
      <c r="D102" s="135">
        <f>SUM(D103,D107,D108)</f>
        <v>350.35932200000002</v>
      </c>
      <c r="E102" s="135">
        <f>Таблица2246279101213145745[[#This Row],[Столбец2]]-Таблица2246279101213145745[[#This Row],[Столбец3]]</f>
        <v>-1270.379592</v>
      </c>
      <c r="F102" s="135">
        <f>Таблица2246279101213145745[[#This Row],[Столбец4]]/Таблица2246279101213145745[[#This Row],[Столбец3]]*100</f>
        <v>18.055014442628483</v>
      </c>
      <c r="G102" s="135">
        <f t="shared" si="4"/>
        <v>1.2736351315882533</v>
      </c>
      <c r="H102" s="135">
        <f t="shared" si="5"/>
        <v>0.20328920420994134</v>
      </c>
    </row>
    <row r="103" spans="1:8" s="133" customFormat="1" ht="21" x14ac:dyDescent="0.2">
      <c r="A103" s="153" t="s">
        <v>27</v>
      </c>
      <c r="B103" s="154">
        <f>B104+B105+B106</f>
        <v>268.81733600000001</v>
      </c>
      <c r="C103" s="154">
        <f>C104+C105+C106</f>
        <v>262.67785300000003</v>
      </c>
      <c r="D103" s="154">
        <f>D104+D105+D106</f>
        <v>319.02530400000001</v>
      </c>
      <c r="E103" s="154">
        <f>Таблица2246279101213145745[[#This Row],[Столбец2]]-Таблица2246279101213145745[[#This Row],[Столбец3]]</f>
        <v>50.207967999999994</v>
      </c>
      <c r="F103" s="154">
        <f>Таблица2246279101213145745[[#This Row],[Столбец4]]/Таблица2246279101213145745[[#This Row],[Столбец3]]*100</f>
        <v>97.71611344292171</v>
      </c>
      <c r="G103" s="154">
        <f t="shared" si="4"/>
        <v>0.21124636432932822</v>
      </c>
      <c r="H103" s="154">
        <f t="shared" si="5"/>
        <v>0.18248487477856126</v>
      </c>
    </row>
    <row r="104" spans="1:8" s="133" customFormat="1" ht="21" x14ac:dyDescent="0.2">
      <c r="A104" s="149" t="s">
        <v>33</v>
      </c>
      <c r="B104" s="134">
        <v>84.224162000000007</v>
      </c>
      <c r="C104" s="134">
        <v>84.321663999999998</v>
      </c>
      <c r="D104" s="134">
        <v>84.841374000000002</v>
      </c>
      <c r="E104" s="134">
        <f>Таблица2246279101213145745[[#This Row],[Столбец2]]-Таблица2246279101213145745[[#This Row],[Столбец3]]</f>
        <v>0.61721199999999499</v>
      </c>
      <c r="F104" s="134">
        <f>Таблица2246279101213145745[[#This Row],[Столбец4]]/Таблица2246279101213145745[[#This Row],[Столбец3]]*100</f>
        <v>100.11576487991651</v>
      </c>
      <c r="G104" s="134">
        <f t="shared" si="4"/>
        <v>6.6186386175571502E-2</v>
      </c>
      <c r="H104" s="134">
        <f t="shared" si="5"/>
        <v>5.8579085067213169E-2</v>
      </c>
    </row>
    <row r="105" spans="1:8" s="133" customFormat="1" ht="21" x14ac:dyDescent="0.2">
      <c r="A105" s="149" t="s">
        <v>34</v>
      </c>
      <c r="B105" s="154">
        <v>21.1</v>
      </c>
      <c r="C105" s="154">
        <v>7.9944300000000004</v>
      </c>
      <c r="D105" s="154">
        <v>29.805</v>
      </c>
      <c r="E105" s="154">
        <f>Таблица2246279101213145745[[#This Row],[Столбец2]]-Таблица2246279101213145745[[#This Row],[Столбец3]]</f>
        <v>8.7049999999999983</v>
      </c>
      <c r="F105" s="154">
        <f>Таблица2246279101213145745[[#This Row],[Столбец4]]/Таблица2246279101213145745[[#This Row],[Столбец3]]*100</f>
        <v>37.888293838862559</v>
      </c>
      <c r="G105" s="154">
        <f t="shared" si="4"/>
        <v>1.6581141505504784E-2</v>
      </c>
      <c r="H105" s="154">
        <f t="shared" si="5"/>
        <v>5.5538087463961935E-3</v>
      </c>
    </row>
    <row r="106" spans="1:8" s="133" customFormat="1" ht="21" x14ac:dyDescent="0.2">
      <c r="A106" s="149" t="s">
        <v>35</v>
      </c>
      <c r="B106" s="132">
        <v>163.49317400000001</v>
      </c>
      <c r="C106" s="132">
        <f>170.361759</f>
        <v>170.36175900000001</v>
      </c>
      <c r="D106" s="132">
        <f>204.37893</f>
        <v>204.37893</v>
      </c>
      <c r="E106" s="132">
        <f>Таблица2246279101213145745[[#This Row],[Столбец2]]-Таблица2246279101213145745[[#This Row],[Столбец3]]</f>
        <v>40.885755999999986</v>
      </c>
      <c r="F106" s="132">
        <f>Таблица2246279101213145745[[#This Row],[Столбец4]]/Таблица2246279101213145745[[#This Row],[Столбец3]]*100</f>
        <v>104.20114481354432</v>
      </c>
      <c r="G106" s="132">
        <f t="shared" si="4"/>
        <v>0.12847883664825191</v>
      </c>
      <c r="H106" s="132">
        <f t="shared" si="5"/>
        <v>0.11835198096495189</v>
      </c>
    </row>
    <row r="107" spans="1:8" s="133" customFormat="1" ht="21" x14ac:dyDescent="0.2">
      <c r="A107" s="174" t="s">
        <v>28</v>
      </c>
      <c r="B107" s="164">
        <v>1323.755216</v>
      </c>
      <c r="C107" s="164"/>
      <c r="D107" s="164"/>
      <c r="E107" s="164">
        <f>Таблица2246279101213145745[[#This Row],[Столбец2]]-Таблица2246279101213145745[[#This Row],[Столбец3]]</f>
        <v>-1323.755216</v>
      </c>
      <c r="F107" s="164">
        <f>Таблица2246279101213145745[[#This Row],[Столбец4]]/Таблица2246279101213145745[[#This Row],[Столбец3]]*100</f>
        <v>0</v>
      </c>
      <c r="G107" s="164">
        <f t="shared" si="4"/>
        <v>1.0402546234666374</v>
      </c>
      <c r="H107" s="164">
        <f t="shared" si="5"/>
        <v>0</v>
      </c>
    </row>
    <row r="108" spans="1:8" s="133" customFormat="1" ht="21" x14ac:dyDescent="0.2">
      <c r="A108" s="153" t="s">
        <v>29</v>
      </c>
      <c r="B108" s="154">
        <v>28.166361999999999</v>
      </c>
      <c r="C108" s="154">
        <v>29.946791999999999</v>
      </c>
      <c r="D108" s="154">
        <v>31.334018</v>
      </c>
      <c r="E108" s="154">
        <f>Таблица2246279101213145745[[#This Row],[Столбец2]]-Таблица2246279101213145745[[#This Row],[Столбец3]]</f>
        <v>3.1676560000000009</v>
      </c>
      <c r="F108" s="154">
        <f>Таблица2246279101213145745[[#This Row],[Столбец4]]/Таблица2246279101213145745[[#This Row],[Столбец3]]*100</f>
        <v>106.32112162728009</v>
      </c>
      <c r="G108" s="154">
        <f t="shared" si="4"/>
        <v>2.2134143792287803E-2</v>
      </c>
      <c r="H108" s="154">
        <f t="shared" si="5"/>
        <v>2.0804329431380039E-2</v>
      </c>
    </row>
    <row r="109" spans="1:8" s="133" customFormat="1" ht="21" x14ac:dyDescent="0.2">
      <c r="A109" s="151" t="s">
        <v>6</v>
      </c>
      <c r="B109" s="171">
        <f>SUM(B110,B114)</f>
        <v>259.78188599999999</v>
      </c>
      <c r="C109" s="135">
        <f>SUM(C110,C114)</f>
        <v>262.13746100000003</v>
      </c>
      <c r="D109" s="135">
        <f>SUM(D110,D114)</f>
        <v>271.71760399999999</v>
      </c>
      <c r="E109" s="135">
        <f>Таблица2246279101213145745[[#This Row],[Столбец2]]-Таблица2246279101213145745[[#This Row],[Столбец3]]</f>
        <v>11.935718000000008</v>
      </c>
      <c r="F109" s="135">
        <f>Таблица2246279101213145745[[#This Row],[Столбец4]]/Таблица2246279101213145745[[#This Row],[Столбец3]]*100</f>
        <v>100.90675105807803</v>
      </c>
      <c r="G109" s="135">
        <f t="shared" si="4"/>
        <v>0.2041459816271522</v>
      </c>
      <c r="H109" s="135">
        <f t="shared" si="5"/>
        <v>0.18210945916843241</v>
      </c>
    </row>
    <row r="110" spans="1:8" s="133" customFormat="1" ht="21" x14ac:dyDescent="0.2">
      <c r="A110" s="153" t="s">
        <v>27</v>
      </c>
      <c r="B110" s="154">
        <f>B111+B112+B113</f>
        <v>256.867501</v>
      </c>
      <c r="C110" s="154">
        <f>C111+C112+C113</f>
        <v>258.20192000000003</v>
      </c>
      <c r="D110" s="154">
        <f>D111+D112+D113</f>
        <v>267.61461600000001</v>
      </c>
      <c r="E110" s="154">
        <f>Таблица2246279101213145745[[#This Row],[Столбец2]]-Таблица2246279101213145745[[#This Row],[Столбец3]]</f>
        <v>10.747115000000008</v>
      </c>
      <c r="F110" s="154">
        <f>Таблица2246279101213145745[[#This Row],[Столбец4]]/Таблица2246279101213145745[[#This Row],[Столбец3]]*100</f>
        <v>100.51949701492211</v>
      </c>
      <c r="G110" s="154">
        <f t="shared" si="4"/>
        <v>0.20185575271309911</v>
      </c>
      <c r="H110" s="154">
        <f t="shared" si="5"/>
        <v>0.17937540032651361</v>
      </c>
    </row>
    <row r="111" spans="1:8" s="133" customFormat="1" ht="21" x14ac:dyDescent="0.2">
      <c r="A111" s="149" t="s">
        <v>33</v>
      </c>
      <c r="B111" s="134">
        <v>36.256909999999998</v>
      </c>
      <c r="C111" s="134">
        <v>36.146048</v>
      </c>
      <c r="D111" s="134">
        <v>36.254888000000001</v>
      </c>
      <c r="E111" s="134">
        <f>Таблица2246279101213145745[[#This Row],[Столбец2]]-Таблица2246279101213145745[[#This Row],[Столбец3]]</f>
        <v>-2.0219999999966376E-3</v>
      </c>
      <c r="F111" s="134">
        <f>Таблица2246279101213145745[[#This Row],[Столбец4]]/Таблица2246279101213145745[[#This Row],[Столбец3]]*100</f>
        <v>99.69423207879548</v>
      </c>
      <c r="G111" s="134">
        <f t="shared" si="4"/>
        <v>2.8491988401059303E-2</v>
      </c>
      <c r="H111" s="134">
        <f t="shared" si="5"/>
        <v>2.5111013234221404E-2</v>
      </c>
    </row>
    <row r="112" spans="1:8" s="133" customFormat="1" ht="21" x14ac:dyDescent="0.2">
      <c r="A112" s="149" t="s">
        <v>34</v>
      </c>
      <c r="B112" s="154">
        <v>111.133</v>
      </c>
      <c r="C112" s="154">
        <v>112.42738</v>
      </c>
      <c r="D112" s="154">
        <v>121.133</v>
      </c>
      <c r="E112" s="154">
        <f>Таблица2246279101213145745[[#This Row],[Столбец2]]-Таблица2246279101213145745[[#This Row],[Столбец3]]</f>
        <v>10</v>
      </c>
      <c r="F112" s="154">
        <f>Таблица2246279101213145745[[#This Row],[Столбец4]]/Таблица2246279101213145745[[#This Row],[Столбец3]]*100</f>
        <v>101.16471255162733</v>
      </c>
      <c r="G112" s="154">
        <f t="shared" si="4"/>
        <v>8.7332322224230471E-2</v>
      </c>
      <c r="H112" s="154">
        <f t="shared" si="5"/>
        <v>7.8104400986487896E-2</v>
      </c>
    </row>
    <row r="113" spans="1:11" s="133" customFormat="1" ht="21" x14ac:dyDescent="0.2">
      <c r="A113" s="149" t="s">
        <v>35</v>
      </c>
      <c r="B113" s="132">
        <v>109.477591</v>
      </c>
      <c r="C113" s="132">
        <f>3.40035+106.228142</f>
        <v>109.62849200000001</v>
      </c>
      <c r="D113" s="132">
        <f>3.94875+106.277978</f>
        <v>110.22672800000001</v>
      </c>
      <c r="E113" s="132">
        <f>Таблица2246279101213145745[[#This Row],[Столбец2]]-Таблица2246279101213145745[[#This Row],[Столбец3]]</f>
        <v>0.7491370000000046</v>
      </c>
      <c r="F113" s="132">
        <f>Таблица2246279101213145745[[#This Row],[Столбец4]]/Таблица2246279101213145745[[#This Row],[Столбец3]]*100</f>
        <v>100.13783734061157</v>
      </c>
      <c r="G113" s="132">
        <f t="shared" si="4"/>
        <v>8.6031442087809329E-2</v>
      </c>
      <c r="H113" s="132">
        <f t="shared" si="5"/>
        <v>7.6159986105804309E-2</v>
      </c>
    </row>
    <row r="114" spans="1:11" s="133" customFormat="1" ht="21" x14ac:dyDescent="0.2">
      <c r="A114" s="153" t="s">
        <v>29</v>
      </c>
      <c r="B114" s="134">
        <v>2.9143849999999998</v>
      </c>
      <c r="C114" s="134">
        <v>3.9355410000000002</v>
      </c>
      <c r="D114" s="134">
        <v>4.1029879999999999</v>
      </c>
      <c r="E114" s="134">
        <f>Таблица2246279101213145745[[#This Row],[Столбец2]]-Таблица2246279101213145745[[#This Row],[Столбец3]]</f>
        <v>1.1886030000000001</v>
      </c>
      <c r="F114" s="134">
        <f>Таблица2246279101213145745[[#This Row],[Столбец4]]/Таблица2246279101213145745[[#This Row],[Столбец3]]*100</f>
        <v>135.03847295398518</v>
      </c>
      <c r="G114" s="134">
        <f t="shared" si="4"/>
        <v>2.2902289140531067E-3</v>
      </c>
      <c r="H114" s="134">
        <f t="shared" si="5"/>
        <v>2.7340588419187887E-3</v>
      </c>
    </row>
    <row r="115" spans="1:11" s="133" customFormat="1" ht="21" x14ac:dyDescent="0.2">
      <c r="A115" s="151" t="s">
        <v>14</v>
      </c>
      <c r="B115" s="171">
        <f>SUM(B116,B120,B121)</f>
        <v>2887.3520840000001</v>
      </c>
      <c r="C115" s="135">
        <f>SUM(C116,C120,C121)</f>
        <v>807.14886799999999</v>
      </c>
      <c r="D115" s="135">
        <f>SUM(D116,D120,D121)</f>
        <v>827.34394799999995</v>
      </c>
      <c r="E115" s="135">
        <f>Таблица2246279101213145745[[#This Row],[Столбец2]]-Таблица2246279101213145745[[#This Row],[Столбец3]]</f>
        <v>-2060.0081360000004</v>
      </c>
      <c r="F115" s="135">
        <f>Таблица2246279101213145745[[#This Row],[Столбец4]]/Таблица2246279101213145745[[#This Row],[Столбец3]]*100</f>
        <v>27.954639563104973</v>
      </c>
      <c r="G115" s="135">
        <f t="shared" si="4"/>
        <v>2.2689854730340344</v>
      </c>
      <c r="H115" s="135">
        <f t="shared" si="5"/>
        <v>0.56073421654104005</v>
      </c>
    </row>
    <row r="116" spans="1:11" s="133" customFormat="1" ht="21" x14ac:dyDescent="0.2">
      <c r="A116" s="153" t="s">
        <v>27</v>
      </c>
      <c r="B116" s="154">
        <f>B117+B118+B119</f>
        <v>743.45262600000001</v>
      </c>
      <c r="C116" s="154">
        <f>C117+C118+C119</f>
        <v>740.84157000000005</v>
      </c>
      <c r="D116" s="154">
        <f>D117+D118+D119</f>
        <v>761.57423199999994</v>
      </c>
      <c r="E116" s="154">
        <f>Таблица2246279101213145745[[#This Row],[Столбец2]]-Таблица2246279101213145745[[#This Row],[Столбец3]]</f>
        <v>18.121605999999929</v>
      </c>
      <c r="F116" s="154">
        <f>Таблица2246279101213145745[[#This Row],[Столбец4]]/Таблица2246279101213145745[[#This Row],[Столбец3]]*100</f>
        <v>99.648793223846937</v>
      </c>
      <c r="G116" s="154">
        <f t="shared" si="4"/>
        <v>0.58423190494526656</v>
      </c>
      <c r="H116" s="154">
        <f t="shared" si="5"/>
        <v>0.51466988780436973</v>
      </c>
    </row>
    <row r="117" spans="1:11" s="133" customFormat="1" ht="21" x14ac:dyDescent="0.2">
      <c r="A117" s="149" t="s">
        <v>33</v>
      </c>
      <c r="B117" s="134">
        <v>47.304011000000003</v>
      </c>
      <c r="C117" s="134">
        <v>47.268698999999998</v>
      </c>
      <c r="D117" s="134">
        <v>48.204388999999999</v>
      </c>
      <c r="E117" s="134">
        <f>Таблица2246279101213145745[[#This Row],[Столбец2]]-Таблица2246279101213145745[[#This Row],[Столбец3]]</f>
        <v>0.90037799999999635</v>
      </c>
      <c r="F117" s="134">
        <f>Таблица2246279101213145745[[#This Row],[Столбец4]]/Таблица2246279101213145745[[#This Row],[Столбец3]]*100</f>
        <v>99.925350939056727</v>
      </c>
      <c r="G117" s="134">
        <f t="shared" si="4"/>
        <v>3.7173199060140036E-2</v>
      </c>
      <c r="H117" s="134">
        <f t="shared" si="5"/>
        <v>3.2838027718920415E-2</v>
      </c>
    </row>
    <row r="118" spans="1:11" s="133" customFormat="1" ht="21" x14ac:dyDescent="0.2">
      <c r="A118" s="149" t="s">
        <v>34</v>
      </c>
      <c r="B118" s="134">
        <v>293.60000000000002</v>
      </c>
      <c r="C118" s="134">
        <v>286.2</v>
      </c>
      <c r="D118" s="134">
        <v>300.10599999999999</v>
      </c>
      <c r="E118" s="134">
        <f>Таблица2246279101213145745[[#This Row],[Столбец2]]-Таблица2246279101213145745[[#This Row],[Столбец3]]</f>
        <v>6.5059999999999718</v>
      </c>
      <c r="F118" s="134">
        <f>Таблица2246279101213145745[[#This Row],[Столбец4]]/Таблица2246279101213145745[[#This Row],[Столбец3]]*100</f>
        <v>97.479564032697539</v>
      </c>
      <c r="G118" s="134">
        <f t="shared" si="4"/>
        <v>0.23072147611451205</v>
      </c>
      <c r="H118" s="134">
        <f t="shared" si="5"/>
        <v>0.1988259404633714</v>
      </c>
    </row>
    <row r="119" spans="1:11" s="133" customFormat="1" ht="21" x14ac:dyDescent="0.2">
      <c r="A119" s="149" t="s">
        <v>35</v>
      </c>
      <c r="B119" s="132">
        <v>402.54861499999998</v>
      </c>
      <c r="C119" s="132">
        <f>407.372871</f>
        <v>407.37287099999998</v>
      </c>
      <c r="D119" s="132">
        <f>413.263843</f>
        <v>413.26384300000001</v>
      </c>
      <c r="E119" s="132">
        <f>Таблица2246279101213145745[[#This Row],[Столбец2]]-Таблица2246279101213145745[[#This Row],[Столбец3]]</f>
        <v>10.715228000000025</v>
      </c>
      <c r="F119" s="132">
        <f>Таблица2246279101213145745[[#This Row],[Столбец4]]/Таблица2246279101213145745[[#This Row],[Столбец3]]*100</f>
        <v>101.19842816997395</v>
      </c>
      <c r="G119" s="132">
        <f t="shared" si="4"/>
        <v>0.3163372297706144</v>
      </c>
      <c r="H119" s="132">
        <f t="shared" si="5"/>
        <v>0.28300591962207788</v>
      </c>
    </row>
    <row r="120" spans="1:11" s="133" customFormat="1" ht="21" x14ac:dyDescent="0.2">
      <c r="A120" s="174" t="s">
        <v>28</v>
      </c>
      <c r="B120" s="164">
        <v>2105.7134980000001</v>
      </c>
      <c r="C120" s="164"/>
      <c r="D120" s="164"/>
      <c r="E120" s="164">
        <f>Таблица2246279101213145745[[#This Row],[Столбец2]]-Таблица2246279101213145745[[#This Row],[Столбец3]]</f>
        <v>-2105.7134980000001</v>
      </c>
      <c r="F120" s="164">
        <f>Таблица2246279101213145745[[#This Row],[Столбец4]]/Таблица2246279101213145745[[#This Row],[Столбец3]]*100</f>
        <v>0</v>
      </c>
      <c r="G120" s="164">
        <f t="shared" si="4"/>
        <v>1.6547456625776995</v>
      </c>
      <c r="H120" s="164">
        <f t="shared" si="5"/>
        <v>0</v>
      </c>
    </row>
    <row r="121" spans="1:11" s="133" customFormat="1" ht="21" x14ac:dyDescent="0.2">
      <c r="A121" s="153" t="s">
        <v>29</v>
      </c>
      <c r="B121" s="134">
        <v>38.185960000000001</v>
      </c>
      <c r="C121" s="134">
        <v>66.307298000000003</v>
      </c>
      <c r="D121" s="134">
        <v>65.769716000000003</v>
      </c>
      <c r="E121" s="134">
        <f>Таблица2246279101213145745[[#This Row],[Столбец2]]-Таблица2246279101213145745[[#This Row],[Столбец3]]</f>
        <v>27.583756000000001</v>
      </c>
      <c r="F121" s="134">
        <f>Таблица2246279101213145745[[#This Row],[Столбец4]]/Таблица2246279101213145745[[#This Row],[Столбец3]]*100</f>
        <v>173.6431348066148</v>
      </c>
      <c r="G121" s="134">
        <f t="shared" si="4"/>
        <v>3.0007905511068501E-2</v>
      </c>
      <c r="H121" s="134">
        <f t="shared" si="5"/>
        <v>4.6064328736670261E-2</v>
      </c>
    </row>
    <row r="122" spans="1:11" s="133" customFormat="1" ht="42" x14ac:dyDescent="0.2">
      <c r="A122" s="151" t="s">
        <v>7</v>
      </c>
      <c r="B122" s="135">
        <f>SUM(B123,B126)</f>
        <v>128.52607399999999</v>
      </c>
      <c r="C122" s="135">
        <f>SUM(C123,C126)</f>
        <v>132.64196999999999</v>
      </c>
      <c r="D122" s="135">
        <f>SUM(D123,D126)</f>
        <v>134.84197</v>
      </c>
      <c r="E122" s="135">
        <f>Таблица2246279101213145745[[#This Row],[Столбец2]]-Таблица2246279101213145745[[#This Row],[Столбец3]]</f>
        <v>6.3158960000000093</v>
      </c>
      <c r="F122" s="135">
        <f>Таблица2246279101213145745[[#This Row],[Столбец4]]/Таблица2246279101213145745[[#This Row],[Столбец3]]*100</f>
        <v>103.20238210964104</v>
      </c>
      <c r="G122" s="135">
        <f t="shared" si="4"/>
        <v>0.10100042749483311</v>
      </c>
      <c r="H122" s="135">
        <f t="shared" si="5"/>
        <v>9.2147674458994744E-2</v>
      </c>
    </row>
    <row r="123" spans="1:11" s="133" customFormat="1" ht="21" x14ac:dyDescent="0.2">
      <c r="A123" s="153" t="s">
        <v>27</v>
      </c>
      <c r="B123" s="154">
        <f>B124+B125</f>
        <v>125.49643399999999</v>
      </c>
      <c r="C123" s="154">
        <f>C124+C125</f>
        <v>129.61232999999999</v>
      </c>
      <c r="D123" s="154">
        <f>D124+D125</f>
        <v>131.81233</v>
      </c>
      <c r="E123" s="154">
        <f>Таблица2246279101213145745[[#This Row],[Столбец2]]-Таблица2246279101213145745[[#This Row],[Столбец3]]</f>
        <v>6.3158960000000093</v>
      </c>
      <c r="F123" s="154">
        <f>Таблица2246279101213145745[[#This Row],[Столбец4]]/Таблица2246279101213145745[[#This Row],[Столбец3]]*100</f>
        <v>103.27969159665524</v>
      </c>
      <c r="G123" s="154">
        <f t="shared" si="4"/>
        <v>9.8619627042191529E-2</v>
      </c>
      <c r="H123" s="154">
        <f t="shared" si="5"/>
        <v>9.0042953906005752E-2</v>
      </c>
      <c r="K123" s="138"/>
    </row>
    <row r="124" spans="1:11" s="133" customFormat="1" ht="21" x14ac:dyDescent="0.2">
      <c r="A124" s="149" t="s">
        <v>33</v>
      </c>
      <c r="B124" s="154">
        <v>15.71233</v>
      </c>
      <c r="C124" s="154">
        <v>17.312329999999999</v>
      </c>
      <c r="D124" s="154">
        <v>17.312329999999999</v>
      </c>
      <c r="E124" s="154">
        <f>Таблица2246279101213145745[[#This Row],[Столбец2]]-Таблица2246279101213145745[[#This Row],[Столбец3]]</f>
        <v>1.5999999999999996</v>
      </c>
      <c r="F124" s="154">
        <f>Таблица2246279101213145745[[#This Row],[Столбец4]]/Таблица2246279101213145745[[#This Row],[Столбец3]]*100</f>
        <v>110.18308551309704</v>
      </c>
      <c r="G124" s="154">
        <f t="shared" si="4"/>
        <v>1.2347315976833553E-2</v>
      </c>
      <c r="H124" s="154">
        <f t="shared" si="5"/>
        <v>1.2027045051929556E-2</v>
      </c>
    </row>
    <row r="125" spans="1:11" s="133" customFormat="1" ht="21" x14ac:dyDescent="0.2">
      <c r="A125" s="149" t="s">
        <v>35</v>
      </c>
      <c r="B125" s="155">
        <v>109.784104</v>
      </c>
      <c r="C125" s="155">
        <v>112.3</v>
      </c>
      <c r="D125" s="155">
        <v>114.5</v>
      </c>
      <c r="E125" s="155">
        <f>Таблица2246279101213145745[[#This Row],[Столбец2]]-Таблица2246279101213145745[[#This Row],[Столбец3]]</f>
        <v>4.7158960000000008</v>
      </c>
      <c r="F125" s="155">
        <f>Таблица2246279101213145745[[#This Row],[Столбец4]]/Таблица2246279101213145745[[#This Row],[Столбец3]]*100</f>
        <v>102.29167603353577</v>
      </c>
      <c r="G125" s="155">
        <f t="shared" si="4"/>
        <v>8.6272311065357987E-2</v>
      </c>
      <c r="H125" s="155">
        <f t="shared" si="5"/>
        <v>7.8015908854076207E-2</v>
      </c>
    </row>
    <row r="126" spans="1:11" s="133" customFormat="1" ht="29.25" customHeight="1" x14ac:dyDescent="0.2">
      <c r="A126" s="153" t="s">
        <v>29</v>
      </c>
      <c r="B126" s="134">
        <v>3.0296400000000001</v>
      </c>
      <c r="C126" s="134">
        <v>3.0296400000000001</v>
      </c>
      <c r="D126" s="134">
        <v>3.0296400000000001</v>
      </c>
      <c r="E126" s="134">
        <f>Таблица2246279101213145745[[#This Row],[Столбец2]]-Таблица2246279101213145745[[#This Row],[Столбец3]]</f>
        <v>0</v>
      </c>
      <c r="F126" s="134">
        <f>Таблица2246279101213145745[[#This Row],[Столбец4]]/Таблица2246279101213145745[[#This Row],[Столбец3]]*100</f>
        <v>100</v>
      </c>
      <c r="G126" s="134">
        <f t="shared" si="4"/>
        <v>2.380800452641588E-3</v>
      </c>
      <c r="H126" s="134">
        <f t="shared" si="5"/>
        <v>2.1047205529889888E-3</v>
      </c>
    </row>
    <row r="127" spans="1:11" s="133" customFormat="1" ht="27" customHeight="1" x14ac:dyDescent="0.2">
      <c r="A127" s="151" t="s">
        <v>43</v>
      </c>
      <c r="B127" s="135">
        <f>B128</f>
        <v>3966.5043089999999</v>
      </c>
      <c r="C127" s="135">
        <f>C128</f>
        <v>4209.8</v>
      </c>
      <c r="D127" s="135">
        <f>D128</f>
        <v>4275.6000000000004</v>
      </c>
      <c r="E127" s="135">
        <f>Таблица2246279101213145745[[#This Row],[Столбец2]]-Таблица2246279101213145745[[#This Row],[Столбец3]]</f>
        <v>309.09569100000044</v>
      </c>
      <c r="F127" s="135">
        <f>Таблица2246279101213145745[[#This Row],[Столбец4]]/Таблица2246279101213145745[[#This Row],[Столбец3]]*100</f>
        <v>106.13375587284659</v>
      </c>
      <c r="G127" s="135">
        <f t="shared" si="4"/>
        <v>3.1170222383755197</v>
      </c>
      <c r="H127" s="135">
        <f t="shared" si="5"/>
        <v>2.9245892528396262</v>
      </c>
    </row>
    <row r="128" spans="1:11" s="133" customFormat="1" ht="21" x14ac:dyDescent="0.2">
      <c r="A128" s="153" t="s">
        <v>27</v>
      </c>
      <c r="B128" s="134">
        <v>3966.5043089999999</v>
      </c>
      <c r="C128" s="134">
        <v>4209.8</v>
      </c>
      <c r="D128" s="134">
        <f>4303.8-28.2</f>
        <v>4275.6000000000004</v>
      </c>
      <c r="E128" s="134">
        <f>Таблица2246279101213145745[[#This Row],[Столбец2]]-Таблица2246279101213145745[[#This Row],[Столбец3]]</f>
        <v>309.09569100000044</v>
      </c>
      <c r="F128" s="134">
        <f>Таблица2246279101213145745[[#This Row],[Столбец4]]/Таблица2246279101213145745[[#This Row],[Столбец3]]*100</f>
        <v>106.13375587284659</v>
      </c>
      <c r="G128" s="134">
        <f t="shared" si="4"/>
        <v>3.1170222383755197</v>
      </c>
      <c r="H128" s="134">
        <f t="shared" si="5"/>
        <v>2.9245892528396262</v>
      </c>
    </row>
    <row r="129" spans="1:8" s="133" customFormat="1" ht="21" hidden="1" x14ac:dyDescent="0.2">
      <c r="A129" s="148" t="s">
        <v>44</v>
      </c>
      <c r="B129" s="134">
        <v>100</v>
      </c>
      <c r="C129" s="134"/>
      <c r="D129" s="134"/>
      <c r="E129" s="134">
        <f>Таблица2246279101213145745[[#This Row],[Столбец2]]-Таблица2246279101213145745[[#This Row],[Столбец3]]</f>
        <v>-100</v>
      </c>
      <c r="F129" s="134">
        <f>Таблица2246279101213145745[[#This Row],[Столбец4]]/Таблица2246279101213145745[[#This Row],[Столбец3]]*100</f>
        <v>0</v>
      </c>
      <c r="G129" s="134">
        <f t="shared" si="4"/>
        <v>7.8583609030828352E-2</v>
      </c>
      <c r="H129" s="134">
        <f t="shared" si="5"/>
        <v>0</v>
      </c>
    </row>
    <row r="130" spans="1:8" s="133" customFormat="1" ht="21" x14ac:dyDescent="0.2">
      <c r="A130" s="156" t="s">
        <v>38</v>
      </c>
      <c r="B130" s="132">
        <v>1349.8</v>
      </c>
      <c r="C130" s="132">
        <f>1271.9</f>
        <v>1271.9000000000001</v>
      </c>
      <c r="D130" s="132">
        <f>1271.9</f>
        <v>1271.9000000000001</v>
      </c>
      <c r="E130" s="132">
        <f>Таблица2246279101213145745[[#This Row],[Столбец2]]-Таблица2246279101213145745[[#This Row],[Столбец3]]</f>
        <v>-77.899999999999864</v>
      </c>
      <c r="F130" s="132">
        <f>Таблица2246279101213145745[[#This Row],[Столбец4]]/Таблица2246279101213145745[[#This Row],[Столбец3]]*100</f>
        <v>94.228774633279016</v>
      </c>
      <c r="G130" s="132">
        <f t="shared" si="4"/>
        <v>1.060721554698121</v>
      </c>
      <c r="H130" s="132">
        <f t="shared" si="5"/>
        <v>0.88360137552537432</v>
      </c>
    </row>
    <row r="131" spans="1:8" s="133" customFormat="1" ht="21" x14ac:dyDescent="0.2">
      <c r="A131" s="156" t="s">
        <v>39</v>
      </c>
      <c r="B131" s="132">
        <v>259.7</v>
      </c>
      <c r="C131" s="132">
        <v>106</v>
      </c>
      <c r="D131" s="132">
        <v>106</v>
      </c>
      <c r="E131" s="132">
        <f>Таблица2246279101213145745[[#This Row],[Столбец2]]-Таблица2246279101213145745[[#This Row],[Столбец3]]</f>
        <v>-153.69999999999999</v>
      </c>
      <c r="F131" s="132">
        <f>Таблица2246279101213145745[[#This Row],[Столбец4]]/Таблица2246279101213145745[[#This Row],[Столбец3]]*100</f>
        <v>40.816326530612244</v>
      </c>
      <c r="G131" s="132">
        <f t="shared" si="4"/>
        <v>0.2040816326530612</v>
      </c>
      <c r="H131" s="132">
        <f t="shared" si="5"/>
        <v>7.3639237208656089E-2</v>
      </c>
    </row>
    <row r="132" spans="1:8" s="133" customFormat="1" ht="21" x14ac:dyDescent="0.2">
      <c r="A132" s="156" t="s">
        <v>8</v>
      </c>
      <c r="B132" s="132">
        <f>B133+B134</f>
        <v>1161.8000000000002</v>
      </c>
      <c r="C132" s="132">
        <f>C133+C134</f>
        <v>1109.8823639999998</v>
      </c>
      <c r="D132" s="132">
        <f>D133+D134</f>
        <v>1109.8823639999998</v>
      </c>
      <c r="E132" s="132">
        <f>Таблица2246279101213145745[[#This Row],[Столбец2]]-Таблица2246279101213145745[[#This Row],[Столбец3]]</f>
        <v>-51.917636000000357</v>
      </c>
      <c r="F132" s="132">
        <f>Таблица2246279101213145745[[#This Row],[Столбец4]]/Таблица2246279101213145745[[#This Row],[Столбец3]]*100</f>
        <v>95.531275951110317</v>
      </c>
      <c r="G132" s="132">
        <f t="shared" si="4"/>
        <v>0.91298436972016384</v>
      </c>
      <c r="H132" s="132">
        <f t="shared" si="5"/>
        <v>0.77104613845566006</v>
      </c>
    </row>
    <row r="133" spans="1:8" s="133" customFormat="1" ht="21" x14ac:dyDescent="0.2">
      <c r="A133" s="156" t="s">
        <v>41</v>
      </c>
      <c r="B133" s="134">
        <f>99.9+20</f>
        <v>119.9</v>
      </c>
      <c r="C133" s="134">
        <v>74.819999999999993</v>
      </c>
      <c r="D133" s="134">
        <v>74.819999999999993</v>
      </c>
      <c r="E133" s="134">
        <f>Таблица2246279101213145745[[#This Row],[Столбец2]]-Таблица2246279101213145745[[#This Row],[Столбец3]]</f>
        <v>-45.080000000000013</v>
      </c>
      <c r="F133" s="134">
        <f>Таблица2246279101213145745[[#This Row],[Столбец4]]/Таблица2246279101213145745[[#This Row],[Столбец3]]*100</f>
        <v>62.402001668056705</v>
      </c>
      <c r="G133" s="134">
        <f t="shared" si="4"/>
        <v>9.4221747227963198E-2</v>
      </c>
      <c r="H133" s="134">
        <f t="shared" si="5"/>
        <v>5.1978186112751387E-2</v>
      </c>
    </row>
    <row r="134" spans="1:8" s="5" customFormat="1" ht="21" x14ac:dyDescent="0.2">
      <c r="A134" s="156" t="s">
        <v>40</v>
      </c>
      <c r="B134" s="132">
        <v>1041.9000000000001</v>
      </c>
      <c r="C134" s="132">
        <v>1035.0623639999999</v>
      </c>
      <c r="D134" s="132">
        <v>1035.0623639999999</v>
      </c>
      <c r="E134" s="132">
        <f>Таблица2246279101213145745[[#This Row],[Столбец2]]-Таблица2246279101213145745[[#This Row],[Столбец3]]</f>
        <v>-6.8376360000002023</v>
      </c>
      <c r="F134" s="132">
        <f>Таблица2246279101213145745[[#This Row],[Столбец4]]/Таблица2246279101213145745[[#This Row],[Столбец3]]*100</f>
        <v>99.343733947595709</v>
      </c>
      <c r="G134" s="132">
        <f t="shared" si="4"/>
        <v>0.81876262249220066</v>
      </c>
      <c r="H134" s="132">
        <f t="shared" si="5"/>
        <v>0.71906795234290866</v>
      </c>
    </row>
    <row r="135" spans="1:8" s="7" customFormat="1" ht="18" customHeight="1" x14ac:dyDescent="0.2">
      <c r="A135" s="157" t="s">
        <v>42</v>
      </c>
      <c r="B135" s="158">
        <f>B11-B23</f>
        <v>-1030.7615080000032</v>
      </c>
      <c r="C135" s="158">
        <f>C11-C23</f>
        <v>-727.58638699999574</v>
      </c>
      <c r="D135" s="158">
        <f>D11-D23</f>
        <v>-2495.7989219999981</v>
      </c>
      <c r="E135" s="135">
        <f>Таблица2246279101213145745[[#This Row],[Столбец2]]-Таблица2246279101213145745[[#This Row],[Столбец3]]</f>
        <v>-1465.0374139999949</v>
      </c>
      <c r="F135" s="135">
        <f>Таблица2246279101213145745[[#This Row],[Столбец4]]/Таблица2246279101213145745[[#This Row],[Столбец3]]*100</f>
        <v>70.587267893980524</v>
      </c>
      <c r="G135" s="158">
        <f t="shared" si="4"/>
        <v>-0.81000959348699297</v>
      </c>
      <c r="H135" s="158">
        <f t="shared" si="5"/>
        <v>-0.50546138247246919</v>
      </c>
    </row>
    <row r="136" spans="1:8" ht="21" x14ac:dyDescent="0.2">
      <c r="A136" s="10"/>
      <c r="B136" s="132"/>
      <c r="C136" s="132"/>
      <c r="D136" s="132"/>
      <c r="E136" s="132"/>
      <c r="F136" s="135"/>
      <c r="G136" s="135"/>
      <c r="H136" s="10"/>
    </row>
    <row r="137" spans="1:8" ht="21" x14ac:dyDescent="0.2">
      <c r="A137" s="140"/>
      <c r="B137" s="132"/>
      <c r="C137" s="132"/>
      <c r="D137" s="132"/>
      <c r="E137" s="132"/>
      <c r="F137" s="135"/>
      <c r="G137" s="135"/>
      <c r="H137" s="159"/>
    </row>
    <row r="138" spans="1:8" ht="46.5" customHeight="1" x14ac:dyDescent="0.2">
      <c r="A138" s="175" t="s">
        <v>91</v>
      </c>
      <c r="B138" s="132"/>
      <c r="C138" s="132"/>
      <c r="D138" s="177">
        <f>D135+D140+D142</f>
        <v>-4261.1165579999979</v>
      </c>
      <c r="E138" s="132"/>
      <c r="F138" s="135"/>
      <c r="G138" s="135"/>
      <c r="H138" s="159"/>
    </row>
    <row r="139" spans="1:8" ht="18.95" customHeight="1" x14ac:dyDescent="0.2">
      <c r="A139" s="45"/>
      <c r="B139" s="132"/>
      <c r="C139" s="132"/>
      <c r="D139" s="132"/>
      <c r="E139" s="132"/>
      <c r="F139" s="135"/>
      <c r="G139" s="135"/>
      <c r="H139" s="159"/>
    </row>
    <row r="140" spans="1:8" ht="27" customHeight="1" x14ac:dyDescent="0.2">
      <c r="A140" s="176" t="s">
        <v>68</v>
      </c>
      <c r="B140" s="132"/>
      <c r="C140" s="132"/>
      <c r="D140" s="132">
        <f>-3751.9+D130+D134</f>
        <v>-1444.9376360000001</v>
      </c>
      <c r="E140" s="132"/>
      <c r="F140" s="135"/>
      <c r="G140" s="135"/>
      <c r="H140" s="159"/>
    </row>
    <row r="141" spans="1:8" ht="21" x14ac:dyDescent="0.2">
      <c r="A141" s="42"/>
      <c r="B141" s="132"/>
      <c r="C141" s="132"/>
      <c r="D141" s="132"/>
      <c r="E141" s="132"/>
      <c r="F141" s="135"/>
      <c r="G141" s="135"/>
      <c r="H141" s="159"/>
    </row>
    <row r="142" spans="1:8" ht="28.5" customHeight="1" x14ac:dyDescent="0.2">
      <c r="A142" s="176" t="s">
        <v>69</v>
      </c>
      <c r="B142" s="132"/>
      <c r="C142" s="132"/>
      <c r="D142" s="132">
        <f>-501.2+D131+D133</f>
        <v>-320.38</v>
      </c>
      <c r="E142" s="132"/>
      <c r="F142" s="135"/>
      <c r="G142" s="135"/>
      <c r="H142" s="159"/>
    </row>
    <row r="143" spans="1:8" ht="21" x14ac:dyDescent="0.2">
      <c r="A143" s="140"/>
      <c r="B143" s="132"/>
      <c r="C143" s="132"/>
      <c r="D143" s="132"/>
      <c r="E143" s="132"/>
      <c r="F143" s="135"/>
      <c r="G143" s="135"/>
      <c r="H143" s="159"/>
    </row>
    <row r="144" spans="1:8" ht="21" x14ac:dyDescent="0.2">
      <c r="A144" s="140"/>
      <c r="B144" s="132"/>
      <c r="C144" s="132"/>
      <c r="D144" s="132"/>
      <c r="E144" s="132"/>
      <c r="F144" s="135"/>
      <c r="G144" s="135"/>
      <c r="H144" s="159"/>
    </row>
    <row r="145" spans="1:8" ht="21" x14ac:dyDescent="0.2">
      <c r="A145" s="140"/>
      <c r="B145" s="132"/>
      <c r="C145" s="132"/>
      <c r="D145" s="132"/>
      <c r="E145" s="132"/>
      <c r="F145" s="135"/>
      <c r="G145" s="135"/>
      <c r="H145" s="159"/>
    </row>
    <row r="146" spans="1:8" ht="21" x14ac:dyDescent="0.2">
      <c r="A146" s="140"/>
      <c r="B146" s="132"/>
      <c r="C146" s="132"/>
      <c r="D146" s="132"/>
      <c r="E146" s="132"/>
      <c r="F146" s="135"/>
      <c r="G146" s="135"/>
      <c r="H146" s="159"/>
    </row>
    <row r="147" spans="1:8" ht="21" x14ac:dyDescent="0.2">
      <c r="A147" s="140"/>
      <c r="B147" s="132"/>
      <c r="C147" s="132"/>
      <c r="D147" s="132"/>
      <c r="E147" s="132"/>
      <c r="F147" s="135"/>
      <c r="G147" s="135"/>
      <c r="H147" s="159"/>
    </row>
    <row r="148" spans="1:8" ht="21" x14ac:dyDescent="0.2">
      <c r="A148" s="140"/>
      <c r="B148" s="132"/>
      <c r="C148" s="132"/>
      <c r="D148" s="132"/>
      <c r="E148" s="132"/>
      <c r="F148" s="135"/>
      <c r="G148" s="135"/>
      <c r="H148" s="159"/>
    </row>
    <row r="149" spans="1:8" ht="21" x14ac:dyDescent="0.2">
      <c r="A149" s="140"/>
      <c r="B149" s="132"/>
      <c r="C149" s="132"/>
      <c r="D149" s="132"/>
      <c r="E149" s="132"/>
      <c r="F149" s="135"/>
      <c r="G149" s="135"/>
      <c r="H149" s="159"/>
    </row>
    <row r="150" spans="1:8" ht="21" x14ac:dyDescent="0.2">
      <c r="A150" s="140"/>
      <c r="B150" s="132"/>
      <c r="C150" s="132"/>
      <c r="D150" s="132"/>
      <c r="E150" s="132"/>
      <c r="F150" s="135"/>
      <c r="G150" s="135"/>
      <c r="H150" s="159"/>
    </row>
    <row r="151" spans="1:8" ht="22.5" x14ac:dyDescent="0.2">
      <c r="A151" s="157"/>
      <c r="B151" s="178"/>
      <c r="C151" s="178"/>
      <c r="D151" s="178"/>
      <c r="E151" s="179"/>
      <c r="F151" s="180"/>
      <c r="G151" s="181"/>
      <c r="H151" s="182"/>
    </row>
    <row r="152" spans="1:8" ht="21" x14ac:dyDescent="0.2">
      <c r="A152" s="46"/>
      <c r="B152" s="10"/>
      <c r="C152" s="2"/>
    </row>
  </sheetData>
  <mergeCells count="4">
    <mergeCell ref="B1:C1"/>
    <mergeCell ref="E4:F4"/>
    <mergeCell ref="G4:H4"/>
    <mergeCell ref="A3:H3"/>
  </mergeCells>
  <pageMargins left="0.6692913385826772" right="0.27559055118110237" top="0.74" bottom="0.44" header="0.19685039370078741" footer="0.19685039370078741"/>
  <pageSetup paperSize="8" scale="90" orientation="landscape" r:id="rId1"/>
  <headerFooter>
    <oddFooter>&amp;C&amp;P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157"/>
  <sheetViews>
    <sheetView showGridLines="0" topLeftCell="A3" zoomScale="115" zoomScaleNormal="115" zoomScaleSheetLayoutView="80" workbookViewId="0">
      <pane xSplit="1" ySplit="4" topLeftCell="B7" activePane="bottomRight" state="frozen"/>
      <selection activeCell="A3" sqref="A3"/>
      <selection pane="topRight" activeCell="B3" sqref="B3"/>
      <selection pane="bottomLeft" activeCell="A7" sqref="A7"/>
      <selection pane="bottomRight" activeCell="D37" sqref="D37"/>
    </sheetView>
  </sheetViews>
  <sheetFormatPr defaultColWidth="9.140625" defaultRowHeight="18" outlineLevelRow="1" x14ac:dyDescent="0.2"/>
  <cols>
    <col min="1" max="1" width="58" style="10" customWidth="1"/>
    <col min="2" max="2" width="20.42578125" style="140" customWidth="1"/>
    <col min="3" max="3" width="18" style="140" bestFit="1" customWidth="1"/>
    <col min="4" max="4" width="20.42578125" style="233" customWidth="1"/>
    <col min="5" max="5" width="14.7109375" style="10" customWidth="1"/>
    <col min="6" max="6" width="11.42578125" style="10" bestFit="1" customWidth="1"/>
    <col min="7" max="8" width="15" style="10" customWidth="1"/>
    <col min="9" max="9" width="3" style="10" hidden="1" customWidth="1"/>
    <col min="10" max="12" width="12.7109375" style="10" hidden="1" customWidth="1"/>
    <col min="13" max="14" width="12.7109375" style="10" customWidth="1"/>
    <col min="15" max="16384" width="9.140625" style="10"/>
  </cols>
  <sheetData>
    <row r="1" spans="1:12" ht="42.75" hidden="1" customHeight="1" x14ac:dyDescent="0.2">
      <c r="B1" s="306"/>
      <c r="C1" s="306"/>
    </row>
    <row r="2" spans="1:12" ht="15.6" hidden="1" customHeight="1" x14ac:dyDescent="0.2">
      <c r="B2" s="139"/>
      <c r="C2" s="139"/>
    </row>
    <row r="3" spans="1:12" ht="52.5" customHeight="1" x14ac:dyDescent="0.2">
      <c r="A3" s="307" t="s">
        <v>99</v>
      </c>
      <c r="B3" s="307"/>
      <c r="C3" s="307"/>
      <c r="D3" s="307"/>
      <c r="E3" s="307"/>
      <c r="F3" s="307"/>
      <c r="G3" s="307"/>
      <c r="H3" s="307"/>
    </row>
    <row r="4" spans="1:12" ht="16.5" customHeight="1" x14ac:dyDescent="0.4">
      <c r="A4" s="200"/>
      <c r="B4" s="200"/>
      <c r="C4" s="200"/>
      <c r="D4" s="234"/>
      <c r="E4" s="308"/>
      <c r="F4" s="308"/>
      <c r="G4" s="309" t="s">
        <v>84</v>
      </c>
      <c r="H4" s="309"/>
    </row>
    <row r="5" spans="1:12" s="202" customFormat="1" ht="36" hidden="1" customHeight="1" x14ac:dyDescent="0.2">
      <c r="A5" s="66"/>
      <c r="B5" s="66"/>
      <c r="C5" s="66"/>
      <c r="D5" s="235"/>
      <c r="E5" s="142"/>
      <c r="F5" s="142"/>
      <c r="G5" s="162"/>
      <c r="H5" s="162" t="s">
        <v>77</v>
      </c>
      <c r="I5" s="201">
        <f>Таблица22462791012131457454[[#This Row],[Столбец3]]*12.7%</f>
        <v>0</v>
      </c>
      <c r="J5" s="201"/>
      <c r="K5" s="223">
        <f>5498.2-Таблица22462791012131457454[[#This Row],[Столбец4]]</f>
        <v>5498.2</v>
      </c>
      <c r="L5" s="223"/>
    </row>
    <row r="6" spans="1:12" ht="63" customHeight="1" x14ac:dyDescent="0.2">
      <c r="A6" s="183" t="s">
        <v>26</v>
      </c>
      <c r="B6" s="184" t="s">
        <v>96</v>
      </c>
      <c r="C6" s="184" t="s">
        <v>97</v>
      </c>
      <c r="D6" s="236" t="s">
        <v>98</v>
      </c>
      <c r="E6" s="184" t="s">
        <v>100</v>
      </c>
      <c r="F6" s="184" t="s">
        <v>50</v>
      </c>
      <c r="G6" s="184" t="s">
        <v>101</v>
      </c>
      <c r="H6" s="185" t="s">
        <v>83</v>
      </c>
      <c r="I6" s="201" t="e">
        <f>Таблица22462791012131457454[[#This Row],[Столбец3]]*12.7%</f>
        <v>#VALUE!</v>
      </c>
      <c r="J6" s="201"/>
      <c r="K6" s="223" t="e">
        <f>5498.2-Таблица22462791012131457454[[#This Row],[Столбец4]]</f>
        <v>#VALUE!</v>
      </c>
      <c r="L6" s="223"/>
    </row>
    <row r="7" spans="1:12" s="204" customFormat="1" ht="42.75" customHeight="1" x14ac:dyDescent="0.2">
      <c r="A7" s="143" t="s">
        <v>18</v>
      </c>
      <c r="B7" s="144">
        <v>143945</v>
      </c>
      <c r="C7" s="144">
        <v>165094</v>
      </c>
      <c r="D7" s="237">
        <v>165094</v>
      </c>
      <c r="E7" s="144">
        <f>Таблица22462791012131457454[[#This Row],[Столбец2]]-Таблица22462791012131457454[[#This Row],[Столбец3]]</f>
        <v>21149</v>
      </c>
      <c r="F7" s="135">
        <f>Таблица22462791012131457454[[#This Row],[Столбец2]]*100/Таблица22462791012131457454[[#This Row],[Столбец3]]-100</f>
        <v>14.692417242696862</v>
      </c>
      <c r="G7" s="145" t="s">
        <v>16</v>
      </c>
      <c r="H7" s="146" t="s">
        <v>16</v>
      </c>
      <c r="I7" s="203">
        <f>Таблица22462791012131457454[[#This Row],[Столбец3]]*12.7%</f>
        <v>18281.014999999999</v>
      </c>
      <c r="J7" s="203"/>
      <c r="K7" s="224">
        <f>5498.2-Таблица22462791012131457454[[#This Row],[Столбец4]]</f>
        <v>-159595.79999999999</v>
      </c>
      <c r="L7" s="224"/>
    </row>
    <row r="8" spans="1:12" s="133" customFormat="1" ht="21" x14ac:dyDescent="0.2">
      <c r="A8" s="77" t="s">
        <v>15</v>
      </c>
      <c r="B8" s="134">
        <v>13.1</v>
      </c>
      <c r="C8" s="134">
        <f>C7/B7*100-100</f>
        <v>14.692417242696848</v>
      </c>
      <c r="D8" s="164">
        <f>D7/B7*100-100</f>
        <v>14.692417242696848</v>
      </c>
      <c r="E8" s="134" t="s">
        <v>16</v>
      </c>
      <c r="F8" s="134" t="s">
        <v>16</v>
      </c>
      <c r="G8" s="79" t="s">
        <v>16</v>
      </c>
      <c r="H8" s="80" t="s">
        <v>16</v>
      </c>
      <c r="I8" s="205">
        <f>Таблица22462791012131457454[[#This Row],[Столбец3]]*12.7%</f>
        <v>1.6637</v>
      </c>
      <c r="J8" s="205"/>
      <c r="K8" s="225">
        <f>5498.2-Таблица22462791012131457454[[#This Row],[Столбец4]]</f>
        <v>5483.5075827573028</v>
      </c>
      <c r="L8" s="225"/>
    </row>
    <row r="9" spans="1:12" s="133" customFormat="1" ht="21" x14ac:dyDescent="0.2">
      <c r="A9" s="77" t="s">
        <v>0</v>
      </c>
      <c r="B9" s="134">
        <v>8</v>
      </c>
      <c r="C9" s="134">
        <v>8.3000000000000007</v>
      </c>
      <c r="D9" s="164">
        <v>8.3000000000000007</v>
      </c>
      <c r="E9" s="134" t="s">
        <v>16</v>
      </c>
      <c r="F9" s="134" t="s">
        <v>16</v>
      </c>
      <c r="G9" s="79" t="s">
        <v>16</v>
      </c>
      <c r="H9" s="80" t="s">
        <v>16</v>
      </c>
      <c r="I9" s="205">
        <f>Таблица22462791012131457454[[#This Row],[Столбец3]]*12.7%</f>
        <v>1.016</v>
      </c>
      <c r="J9" s="205"/>
      <c r="K9" s="225">
        <f>5498.2-Таблица22462791012131457454[[#This Row],[Столбец4]]</f>
        <v>5489.9</v>
      </c>
      <c r="L9" s="225"/>
    </row>
    <row r="10" spans="1:12" s="136" customFormat="1" ht="21" x14ac:dyDescent="0.2">
      <c r="A10" s="77" t="s">
        <v>9</v>
      </c>
      <c r="B10" s="134">
        <v>2.6</v>
      </c>
      <c r="C10" s="134">
        <v>4.5999999999999996</v>
      </c>
      <c r="D10" s="164">
        <v>4.5999999999999996</v>
      </c>
      <c r="E10" s="134" t="s">
        <v>16</v>
      </c>
      <c r="F10" s="134" t="s">
        <v>16</v>
      </c>
      <c r="G10" s="79" t="s">
        <v>16</v>
      </c>
      <c r="H10" s="80" t="s">
        <v>16</v>
      </c>
      <c r="I10" s="205">
        <f>Таблица22462791012131457454[[#This Row],[Столбец3]]*12.7%</f>
        <v>0.33019999999999999</v>
      </c>
      <c r="J10" s="205"/>
      <c r="K10" s="225">
        <f>5498.2-Таблица22462791012131457454[[#This Row],[Столбец4]]</f>
        <v>5493.5999999999995</v>
      </c>
      <c r="L10" s="225"/>
    </row>
    <row r="11" spans="1:12" s="133" customFormat="1" ht="42.75" customHeight="1" x14ac:dyDescent="0.2">
      <c r="A11" s="120" t="s">
        <v>17</v>
      </c>
      <c r="B11" s="218">
        <f>B15+B19+B22</f>
        <v>42956.462999999996</v>
      </c>
      <c r="C11" s="218">
        <f>C15+C19+C22</f>
        <v>45660.274414</v>
      </c>
      <c r="D11" s="238">
        <f>D15+D19+D22</f>
        <v>47229.902200000004</v>
      </c>
      <c r="E11" s="218">
        <f>Таблица22462791012131457454[[#This Row],[Столбец2]]-Таблица22462791012131457454[[#This Row],[Столбец3]]</f>
        <v>4273.439200000008</v>
      </c>
      <c r="F11" s="218">
        <f>Таблица22462791012131457454[[#This Row],[Столбец2]]*100/Таблица22462791012131457454[[#This Row],[Столбец3]]-100</f>
        <v>9.9483032390260178</v>
      </c>
      <c r="G11" s="218">
        <f>B11/$B$7*100</f>
        <v>29.842275174545829</v>
      </c>
      <c r="H11" s="219">
        <f>D11/$D$7*100</f>
        <v>28.607885325935527</v>
      </c>
      <c r="I11" s="205">
        <f>Таблица22462791012131457454[[#This Row],[Столбец3]]*12.7%</f>
        <v>5455.4708009999995</v>
      </c>
      <c r="J11" s="205"/>
      <c r="K11" s="226">
        <f>5498.2-Таблица22462791012131457454[[#This Row],[Столбец4]]</f>
        <v>-40162.074414000002</v>
      </c>
      <c r="L11" s="225"/>
    </row>
    <row r="12" spans="1:12" s="133" customFormat="1" ht="42.75" customHeight="1" x14ac:dyDescent="0.2">
      <c r="A12" s="143" t="s">
        <v>49</v>
      </c>
      <c r="B12" s="147">
        <f>B13+B14</f>
        <v>28169</v>
      </c>
      <c r="C12" s="147">
        <f>C13+C14</f>
        <v>32684.3</v>
      </c>
      <c r="D12" s="239">
        <f>D13+D14</f>
        <v>32684.3</v>
      </c>
      <c r="E12" s="147">
        <f>Таблица22462791012131457454[[#This Row],[Столбец2]]-Таблица22462791012131457454[[#This Row],[Столбец3]]</f>
        <v>4515.2999999999993</v>
      </c>
      <c r="F12" s="147">
        <f>Таблица22462791012131457454[[#This Row],[Столбец2]]*100/Таблица22462791012131457454[[#This Row],[Столбец3]]-100</f>
        <v>16.029323014661514</v>
      </c>
      <c r="G12" s="147">
        <f t="shared" ref="G12:G82" si="0">B12/$B$7*100</f>
        <v>19.569279933307861</v>
      </c>
      <c r="H12" s="187">
        <f t="shared" ref="H12:H82" si="1">D12/$D$7*100</f>
        <v>19.797388154627061</v>
      </c>
      <c r="I12" s="206">
        <f>Таблица22462791012131457454[[#This Row],[Столбец3]]*12.7%</f>
        <v>3577.4630000000002</v>
      </c>
      <c r="J12" s="205"/>
      <c r="K12" s="225">
        <f>5498.2-Таблица22462791012131457454[[#This Row],[Столбец4]]</f>
        <v>-27186.1</v>
      </c>
      <c r="L12" s="225"/>
    </row>
    <row r="13" spans="1:12" s="133" customFormat="1" ht="25.5" customHeight="1" x14ac:dyDescent="0.2">
      <c r="A13" s="148" t="s">
        <v>46</v>
      </c>
      <c r="B13" s="134">
        <v>26348.085999999999</v>
      </c>
      <c r="C13" s="134">
        <v>30772.5</v>
      </c>
      <c r="D13" s="164">
        <v>30772.5</v>
      </c>
      <c r="E13" s="134">
        <f>Таблица22462791012131457454[[#This Row],[Столбец2]]-Таблица22462791012131457454[[#This Row],[Столбец3]]</f>
        <v>4424.4140000000007</v>
      </c>
      <c r="F13" s="134">
        <f>Таблица22462791012131457454[[#This Row],[Столбец2]]*100/Таблица22462791012131457454[[#This Row],[Столбец3]]-100</f>
        <v>16.792164713596279</v>
      </c>
      <c r="G13" s="134">
        <f>B13/$B$7*100</f>
        <v>18.304273159887458</v>
      </c>
      <c r="H13" s="188">
        <f t="shared" si="1"/>
        <v>18.639381201012757</v>
      </c>
      <c r="I13" s="205">
        <f>Таблица22462791012131457454[[#This Row],[Столбец3]]*12.7%</f>
        <v>3346.2069219999998</v>
      </c>
      <c r="J13" s="205"/>
      <c r="K13" s="225">
        <f>5498.2-Таблица22462791012131457454[[#This Row],[Столбец4]]</f>
        <v>-25274.3</v>
      </c>
      <c r="L13" s="225"/>
    </row>
    <row r="14" spans="1:12" s="133" customFormat="1" ht="25.5" customHeight="1" x14ac:dyDescent="0.2">
      <c r="A14" s="148" t="s">
        <v>45</v>
      </c>
      <c r="B14" s="134">
        <v>1820.914</v>
      </c>
      <c r="C14" s="134">
        <v>1911.8</v>
      </c>
      <c r="D14" s="164">
        <v>1911.8</v>
      </c>
      <c r="E14" s="134">
        <f>Таблица22462791012131457454[[#This Row],[Столбец2]]-Таблица22462791012131457454[[#This Row],[Столбец3]]</f>
        <v>90.885999999999967</v>
      </c>
      <c r="F14" s="134">
        <f>Таблица22462791012131457454[[#This Row],[Столбец2]]*100/Таблица22462791012131457454[[#This Row],[Столбец3]]-100</f>
        <v>4.9912296791611226</v>
      </c>
      <c r="G14" s="134">
        <f t="shared" si="0"/>
        <v>1.2650067734204036</v>
      </c>
      <c r="H14" s="188">
        <f t="shared" si="1"/>
        <v>1.1580069536143045</v>
      </c>
      <c r="I14" s="205">
        <f>Таблица22462791012131457454[[#This Row],[Столбец3]]*12.7%</f>
        <v>231.256078</v>
      </c>
      <c r="J14" s="205"/>
      <c r="K14" s="225">
        <f>5498.2-Таблица22462791012131457454[[#This Row],[Столбец4]]</f>
        <v>3586.3999999999996</v>
      </c>
      <c r="L14" s="225"/>
    </row>
    <row r="15" spans="1:12" s="133" customFormat="1" ht="42.75" customHeight="1" x14ac:dyDescent="0.2">
      <c r="A15" s="143" t="s">
        <v>48</v>
      </c>
      <c r="B15" s="147">
        <f>B16+B17+B18</f>
        <v>28961</v>
      </c>
      <c r="C15" s="147">
        <f>C16+C17+C18</f>
        <v>33876.300000000003</v>
      </c>
      <c r="D15" s="239">
        <f>D16+D17+D18</f>
        <v>33876.300000000003</v>
      </c>
      <c r="E15" s="147">
        <f>Таблица22462791012131457454[[#This Row],[Столбец2]]-Таблица22462791012131457454[[#This Row],[Столбец3]]</f>
        <v>4915.3000000000029</v>
      </c>
      <c r="F15" s="147">
        <f>Таблица22462791012131457454[[#This Row],[Столбец2]]*100/Таблица22462791012131457454[[#This Row],[Столбец3]]-100</f>
        <v>16.972134940091863</v>
      </c>
      <c r="G15" s="147">
        <f t="shared" si="0"/>
        <v>20.119490083017819</v>
      </c>
      <c r="H15" s="187">
        <f t="shared" si="1"/>
        <v>20.5194010684822</v>
      </c>
      <c r="I15" s="205">
        <f>Таблица22462791012131457454[[#This Row],[Столбец3]]*12.7%</f>
        <v>3678.047</v>
      </c>
      <c r="J15" s="205"/>
      <c r="K15" s="225">
        <f>5498.2-Таблица22462791012131457454[[#This Row],[Столбец4]]</f>
        <v>-28378.100000000002</v>
      </c>
      <c r="L15" s="225"/>
    </row>
    <row r="16" spans="1:12" s="133" customFormat="1" ht="25.5" customHeight="1" x14ac:dyDescent="0.2">
      <c r="A16" s="148" t="s">
        <v>62</v>
      </c>
      <c r="B16" s="134">
        <v>26348.085999999999</v>
      </c>
      <c r="C16" s="134">
        <f>C13</f>
        <v>30772.5</v>
      </c>
      <c r="D16" s="164">
        <f>D13</f>
        <v>30772.5</v>
      </c>
      <c r="E16" s="134">
        <f>Таблица22462791012131457454[[#This Row],[Столбец2]]-Таблица22462791012131457454[[#This Row],[Столбец3]]</f>
        <v>4424.4140000000007</v>
      </c>
      <c r="F16" s="134">
        <f>Таблица22462791012131457454[[#This Row],[Столбец2]]*100/Таблица22462791012131457454[[#This Row],[Столбец3]]-100</f>
        <v>16.792164713596279</v>
      </c>
      <c r="G16" s="134">
        <f t="shared" si="0"/>
        <v>18.304273159887458</v>
      </c>
      <c r="H16" s="188">
        <f t="shared" si="1"/>
        <v>18.639381201012757</v>
      </c>
      <c r="I16" s="205">
        <f>Таблица22462791012131457454[[#This Row],[Столбец3]]*12.7%</f>
        <v>3346.2069219999998</v>
      </c>
      <c r="J16" s="205"/>
      <c r="K16" s="225">
        <f>5498.2-Таблица22462791012131457454[[#This Row],[Столбец4]]</f>
        <v>-25274.3</v>
      </c>
      <c r="L16" s="225"/>
    </row>
    <row r="17" spans="1:12" s="133" customFormat="1" ht="25.5" customHeight="1" x14ac:dyDescent="0.2">
      <c r="A17" s="148" t="s">
        <v>45</v>
      </c>
      <c r="B17" s="134">
        <v>1820.914</v>
      </c>
      <c r="C17" s="134">
        <f>C14</f>
        <v>1911.8</v>
      </c>
      <c r="D17" s="164">
        <f>D14</f>
        <v>1911.8</v>
      </c>
      <c r="E17" s="134">
        <f>Таблица22462791012131457454[[#This Row],[Столбец2]]-Таблица22462791012131457454[[#This Row],[Столбец3]]</f>
        <v>90.885999999999967</v>
      </c>
      <c r="F17" s="134">
        <f>Таблица22462791012131457454[[#This Row],[Столбец2]]*100/Таблица22462791012131457454[[#This Row],[Столбец3]]-100</f>
        <v>4.9912296791611226</v>
      </c>
      <c r="G17" s="134">
        <f t="shared" si="0"/>
        <v>1.2650067734204036</v>
      </c>
      <c r="H17" s="188">
        <f t="shared" si="1"/>
        <v>1.1580069536143045</v>
      </c>
      <c r="I17" s="205">
        <f>Таблица22462791012131457454[[#This Row],[Столбец3]]*12.7%</f>
        <v>231.256078</v>
      </c>
      <c r="J17" s="205"/>
      <c r="K17" s="225">
        <f>5498.2-Таблица22462791012131457454[[#This Row],[Столбец4]]</f>
        <v>3586.3999999999996</v>
      </c>
      <c r="L17" s="225"/>
    </row>
    <row r="18" spans="1:12" s="133" customFormat="1" ht="25.5" customHeight="1" x14ac:dyDescent="0.2">
      <c r="A18" s="148" t="s">
        <v>25</v>
      </c>
      <c r="B18" s="134">
        <v>792</v>
      </c>
      <c r="C18" s="134">
        <v>1192</v>
      </c>
      <c r="D18" s="164">
        <v>1192</v>
      </c>
      <c r="E18" s="134">
        <f>Таблица22462791012131457454[[#This Row],[Столбец2]]-Таблица22462791012131457454[[#This Row],[Столбец3]]</f>
        <v>400</v>
      </c>
      <c r="F18" s="134">
        <f>Таблица22462791012131457454[[#This Row],[Столбец2]]*100/Таблица22462791012131457454[[#This Row],[Столбец3]]-100</f>
        <v>50.505050505050491</v>
      </c>
      <c r="G18" s="134">
        <f t="shared" si="0"/>
        <v>0.55021014970995874</v>
      </c>
      <c r="H18" s="188">
        <f t="shared" si="1"/>
        <v>0.722012913855137</v>
      </c>
      <c r="I18" s="205">
        <f>Таблица22462791012131457454[[#This Row],[Столбец3]]*12.7%</f>
        <v>100.584</v>
      </c>
      <c r="J18" s="205"/>
      <c r="K18" s="225">
        <f>5498.2-Таблица22462791012131457454[[#This Row],[Столбец4]]</f>
        <v>4306.2</v>
      </c>
      <c r="L18" s="225"/>
    </row>
    <row r="19" spans="1:12" s="133" customFormat="1" ht="42.75" customHeight="1" x14ac:dyDescent="0.2">
      <c r="A19" s="143" t="s">
        <v>104</v>
      </c>
      <c r="B19" s="147">
        <f>B20+B21</f>
        <v>11410.431</v>
      </c>
      <c r="C19" s="147">
        <f>C20+C21</f>
        <v>9149.9650000000001</v>
      </c>
      <c r="D19" s="239">
        <f>D20+D21</f>
        <v>10687.844999999999</v>
      </c>
      <c r="E19" s="147">
        <f>Таблица22462791012131457454[[#This Row],[Столбец2]]-Таблица22462791012131457454[[#This Row],[Столбец3]]</f>
        <v>-722.58600000000115</v>
      </c>
      <c r="F19" s="147">
        <f>Таблица22462791012131457454[[#This Row],[Столбец2]]*100/Таблица22462791012131457454[[#This Row],[Столбец3]]-100</f>
        <v>-6.3326792826668878</v>
      </c>
      <c r="G19" s="147">
        <f t="shared" si="0"/>
        <v>7.9269380666226681</v>
      </c>
      <c r="H19" s="187">
        <f t="shared" si="1"/>
        <v>6.4737937175185039</v>
      </c>
      <c r="I19" s="205">
        <f>Таблица22462791012131457454[[#This Row],[Столбец3]]*12.7%</f>
        <v>1449.1247370000001</v>
      </c>
      <c r="J19" s="205"/>
      <c r="K19" s="225">
        <f>5498.2-Таблица22462791012131457454[[#This Row],[Столбец4]]</f>
        <v>-3651.7650000000003</v>
      </c>
      <c r="L19" s="225"/>
    </row>
    <row r="20" spans="1:12" s="136" customFormat="1" ht="27.75" customHeight="1" x14ac:dyDescent="0.2">
      <c r="A20" s="148" t="s">
        <v>21</v>
      </c>
      <c r="B20" s="134">
        <v>6767.2510000000002</v>
      </c>
      <c r="C20" s="134">
        <v>4949.2879999999996</v>
      </c>
      <c r="D20" s="164">
        <v>6415.5919999999996</v>
      </c>
      <c r="E20" s="134">
        <f>Таблица22462791012131457454[[#This Row],[Столбец2]]-Таблица22462791012131457454[[#This Row],[Столбец3]]</f>
        <v>-351.65900000000056</v>
      </c>
      <c r="F20" s="134">
        <f>Таблица22462791012131457454[[#This Row],[Столбец2]]*100/Таблица22462791012131457454[[#This Row],[Столбец3]]-100</f>
        <v>-5.1964822939181801</v>
      </c>
      <c r="G20" s="134">
        <f t="shared" si="0"/>
        <v>4.7012754871652369</v>
      </c>
      <c r="H20" s="188">
        <f t="shared" si="1"/>
        <v>3.8860237198202232</v>
      </c>
      <c r="I20" s="205">
        <f>Таблица22462791012131457454[[#This Row],[Столбец3]]*12.7%</f>
        <v>859.440877</v>
      </c>
      <c r="J20" s="205"/>
      <c r="K20" s="225">
        <f>5498.2-Таблица22462791012131457454[[#This Row],[Столбец4]]</f>
        <v>548.91200000000026</v>
      </c>
      <c r="L20" s="225"/>
    </row>
    <row r="21" spans="1:12" s="133" customFormat="1" ht="27.75" customHeight="1" x14ac:dyDescent="0.2">
      <c r="A21" s="148" t="s">
        <v>22</v>
      </c>
      <c r="B21" s="134">
        <v>4643.18</v>
      </c>
      <c r="C21" s="134">
        <v>4200.6769999999997</v>
      </c>
      <c r="D21" s="164">
        <v>4272.2529999999997</v>
      </c>
      <c r="E21" s="134">
        <f>Таблица22462791012131457454[[#This Row],[Столбец2]]-Таблица22462791012131457454[[#This Row],[Столбец3]]</f>
        <v>-370.92700000000059</v>
      </c>
      <c r="F21" s="134">
        <f>Таблица22462791012131457454[[#This Row],[Столбец2]]*100/Таблица22462791012131457454[[#This Row],[Столбец3]]-100</f>
        <v>-7.9886414052438255</v>
      </c>
      <c r="G21" s="134">
        <f t="shared" si="0"/>
        <v>3.2256625794574321</v>
      </c>
      <c r="H21" s="188">
        <f t="shared" si="1"/>
        <v>2.5877699976982806</v>
      </c>
      <c r="I21" s="205">
        <f>Таблица22462791012131457454[[#This Row],[Столбец3]]*12.7%</f>
        <v>589.6838600000001</v>
      </c>
      <c r="J21" s="205"/>
      <c r="K21" s="225">
        <f>5498.2-Таблица22462791012131457454[[#This Row],[Столбец4]]</f>
        <v>1297.5230000000001</v>
      </c>
      <c r="L21" s="225"/>
    </row>
    <row r="22" spans="1:12" s="133" customFormat="1" ht="42" x14ac:dyDescent="0.2">
      <c r="A22" s="143" t="s">
        <v>23</v>
      </c>
      <c r="B22" s="135">
        <v>2585.0320000000002</v>
      </c>
      <c r="C22" s="135">
        <v>2634.0094140000001</v>
      </c>
      <c r="D22" s="240">
        <v>2665.7572</v>
      </c>
      <c r="E22" s="86">
        <f>Таблица22462791012131457454[[#This Row],[Столбец2]]-Таблица22462791012131457454[[#This Row],[Столбец3]]</f>
        <v>80.725199999999859</v>
      </c>
      <c r="F22" s="135">
        <f>Таблица22462791012131457454[[#This Row],[Столбец2]]*100/Таблица22462791012131457454[[#This Row],[Столбец3]]-100</f>
        <v>3.1227930640703647</v>
      </c>
      <c r="G22" s="135">
        <f t="shared" si="0"/>
        <v>1.795847024905346</v>
      </c>
      <c r="H22" s="186">
        <f t="shared" si="1"/>
        <v>1.6146905399348248</v>
      </c>
      <c r="I22" s="207">
        <f>Таблица22462791012131457454[[#This Row],[Столбец3]]*12.7%</f>
        <v>328.29906400000004</v>
      </c>
      <c r="J22" s="205"/>
      <c r="K22" s="225">
        <f>5498.2-Таблица22462791012131457454[[#This Row],[Столбец4]]</f>
        <v>2864.1905859999997</v>
      </c>
      <c r="L22" s="225"/>
    </row>
    <row r="23" spans="1:12" s="136" customFormat="1" ht="48.75" customHeight="1" x14ac:dyDescent="0.2">
      <c r="A23" s="120" t="s">
        <v>51</v>
      </c>
      <c r="B23" s="218">
        <f>B24+B29+B32</f>
        <v>44108.022927000005</v>
      </c>
      <c r="C23" s="218">
        <f>C24+C29+C32</f>
        <v>47629.790369999995</v>
      </c>
      <c r="D23" s="218">
        <f>D24+D29+D32</f>
        <v>52302.725347000007</v>
      </c>
      <c r="E23" s="218">
        <f>E24+E29+E32</f>
        <v>8194.7024199999996</v>
      </c>
      <c r="F23" s="218">
        <f>Таблица22462791012131457454[[#This Row],[Столбец2]]*100/Таблица22462791012131457454[[#This Row],[Столбец3]]-100</f>
        <v>18.57871170866683</v>
      </c>
      <c r="G23" s="218">
        <f t="shared" si="0"/>
        <v>30.642275123832025</v>
      </c>
      <c r="H23" s="219">
        <f t="shared" si="1"/>
        <v>31.68057309593323</v>
      </c>
      <c r="I23" s="205">
        <f>Таблица22462791012131457454[[#This Row],[Столбец3]]*12.7%</f>
        <v>5601.7189117290009</v>
      </c>
      <c r="J23" s="207"/>
      <c r="K23" s="226">
        <f>5498.2-Таблица22462791012131457454[[#This Row],[Столбец4]]</f>
        <v>-42131.590369999998</v>
      </c>
      <c r="L23" s="225"/>
    </row>
    <row r="24" spans="1:12" s="133" customFormat="1" ht="21" x14ac:dyDescent="0.2">
      <c r="A24" s="150" t="s">
        <v>27</v>
      </c>
      <c r="B24" s="135">
        <f t="shared" ref="B24:D25" si="2">B34+B42+B50+B90+B143</f>
        <v>30281.296280000002</v>
      </c>
      <c r="C24" s="86">
        <f t="shared" si="2"/>
        <v>36014.548136999998</v>
      </c>
      <c r="D24" s="240">
        <f t="shared" si="2"/>
        <v>39116.885258000002</v>
      </c>
      <c r="E24" s="86">
        <f>Таблица22462791012131457454[[#This Row],[Столбец2]]-Таблица22462791012131457454[[#This Row],[Столбец3]]</f>
        <v>8835.5889779999998</v>
      </c>
      <c r="F24" s="135">
        <f>Таблица22462791012131457454[[#This Row],[Столбец2]]*100/Таблица22462791012131457454[[#This Row],[Столбец3]]-100</f>
        <v>29.178371019194685</v>
      </c>
      <c r="G24" s="135">
        <f t="shared" si="0"/>
        <v>21.036712827816181</v>
      </c>
      <c r="H24" s="186">
        <f t="shared" si="1"/>
        <v>23.693704954753052</v>
      </c>
      <c r="I24" s="205">
        <f>Таблица22462791012131457454[[#This Row],[Столбец3]]*12.7%</f>
        <v>3845.7246275600005</v>
      </c>
      <c r="J24" s="205"/>
      <c r="K24" s="226">
        <f>5498.2-Таблица22462791012131457454[[#This Row],[Столбец4]]</f>
        <v>-30516.348136999997</v>
      </c>
      <c r="L24" s="225"/>
    </row>
    <row r="25" spans="1:12" s="133" customFormat="1" ht="21" x14ac:dyDescent="0.2">
      <c r="A25" s="149" t="s">
        <v>33</v>
      </c>
      <c r="B25" s="134">
        <f t="shared" si="2"/>
        <v>9564.2898999999998</v>
      </c>
      <c r="C25" s="91">
        <f t="shared" si="2"/>
        <v>13131.249104</v>
      </c>
      <c r="D25" s="245">
        <f t="shared" si="2"/>
        <v>13207.278085000002</v>
      </c>
      <c r="E25" s="91">
        <f>Таблица22462791012131457454[[#This Row],[Столбец2]]-Таблица22462791012131457454[[#This Row],[Столбец3]]</f>
        <v>3642.988185000002</v>
      </c>
      <c r="F25" s="134">
        <f>Таблица22462791012131457454[[#This Row],[Столбец2]]*100/Таблица22462791012131457454[[#This Row],[Столбец3]]-100</f>
        <v>38.08947891677775</v>
      </c>
      <c r="G25" s="134">
        <f t="shared" si="0"/>
        <v>6.6444057799854113</v>
      </c>
      <c r="H25" s="188">
        <f t="shared" si="1"/>
        <v>7.9998534683271352</v>
      </c>
      <c r="I25" s="205">
        <f>Таблица22462791012131457454[[#This Row],[Столбец3]]*12.7%</f>
        <v>1214.6648173000001</v>
      </c>
      <c r="J25" s="205"/>
      <c r="K25" s="225">
        <f>5498.2-Таблица22462791012131457454[[#This Row],[Столбец4]]</f>
        <v>-7633.0491040000006</v>
      </c>
      <c r="L25" s="225"/>
    </row>
    <row r="26" spans="1:12" s="133" customFormat="1" ht="21" x14ac:dyDescent="0.2">
      <c r="A26" s="149" t="s">
        <v>34</v>
      </c>
      <c r="B26" s="134">
        <f>B36+B44+B52+B92</f>
        <v>4905.2889999999998</v>
      </c>
      <c r="C26" s="91">
        <f>C36+C44+C52+C92</f>
        <v>4816.4850000000006</v>
      </c>
      <c r="D26" s="245">
        <f>D36+D44+D52+D92</f>
        <v>5545.5913</v>
      </c>
      <c r="E26" s="91">
        <f>Таблица22462791012131457454[[#This Row],[Столбец2]]-Таблица22462791012131457454[[#This Row],[Столбец3]]</f>
        <v>640.30230000000029</v>
      </c>
      <c r="F26" s="134">
        <f>Таблица22462791012131457454[[#This Row],[Столбец2]]*100/Таблица22462791012131457454[[#This Row],[Столбец3]]-100</f>
        <v>13.053304300725202</v>
      </c>
      <c r="G26" s="134">
        <f t="shared" si="0"/>
        <v>3.4077522664906734</v>
      </c>
      <c r="H26" s="188">
        <f t="shared" si="1"/>
        <v>3.3590507831901824</v>
      </c>
      <c r="I26" s="205">
        <f>Таблица22462791012131457454[[#This Row],[Столбец3]]*12.7%</f>
        <v>622.97170299999993</v>
      </c>
      <c r="J26" s="205"/>
      <c r="K26" s="225">
        <f>5498.2-Таблица22462791012131457454[[#This Row],[Столбец4]]</f>
        <v>681.71499999999924</v>
      </c>
      <c r="L26" s="225"/>
    </row>
    <row r="27" spans="1:12" s="133" customFormat="1" ht="21" outlineLevel="1" x14ac:dyDescent="0.2">
      <c r="A27" s="149" t="s">
        <v>35</v>
      </c>
      <c r="B27" s="132">
        <f>B37+B45+B53+B93+B143-B144</f>
        <v>15463.920248999999</v>
      </c>
      <c r="C27" s="96">
        <f>C37+C45+C53+C93+C143-C144</f>
        <v>17701.959129000003</v>
      </c>
      <c r="D27" s="243">
        <f>D37+D45+D53+D93+D143-D144</f>
        <v>19965.022814999997</v>
      </c>
      <c r="E27" s="96">
        <f>Таблица22462791012131457454[[#This Row],[Столбец2]]-Таблица22462791012131457454[[#This Row],[Столбец3]]</f>
        <v>4501.1025659999978</v>
      </c>
      <c r="F27" s="132">
        <f>Таблица22462791012131457454[[#This Row],[Столбец2]]*100/Таблица22462791012131457454[[#This Row],[Столбец3]]-100</f>
        <v>29.10712480097709</v>
      </c>
      <c r="G27" s="132">
        <f t="shared" si="0"/>
        <v>10.742936711243877</v>
      </c>
      <c r="H27" s="189">
        <f t="shared" si="1"/>
        <v>12.093124410941643</v>
      </c>
      <c r="I27" s="205">
        <f>Таблица22462791012131457454[[#This Row],[Столбец3]]*12.7%</f>
        <v>1963.9178716229999</v>
      </c>
      <c r="J27" s="205"/>
      <c r="K27" s="225">
        <f>5498.2-Таблица22462791012131457454[[#This Row],[Столбец4]]</f>
        <v>-12203.759129000002</v>
      </c>
      <c r="L27" s="225"/>
    </row>
    <row r="28" spans="1:12" s="133" customFormat="1" ht="21" outlineLevel="1" x14ac:dyDescent="0.2">
      <c r="A28" s="229" t="s">
        <v>102</v>
      </c>
      <c r="B28" s="132">
        <f t="shared" ref="B28:D29" si="3">B38+B46+B54+B94</f>
        <v>347.79713100000004</v>
      </c>
      <c r="C28" s="96">
        <f t="shared" si="3"/>
        <v>364.85490399999998</v>
      </c>
      <c r="D28" s="243">
        <f t="shared" si="3"/>
        <v>398.99305800000002</v>
      </c>
      <c r="E28" s="96">
        <f>Таблица22462791012131457454[[#This Row],[Столбец2]]-Таблица22462791012131457454[[#This Row],[Столбец3]]</f>
        <v>51.195926999999983</v>
      </c>
      <c r="F28" s="132">
        <f>Таблица22462791012131457454[[#This Row],[Столбец2]]*100/Таблица22462791012131457454[[#This Row],[Столбец3]]-100</f>
        <v>14.720054433111457</v>
      </c>
      <c r="G28" s="132">
        <f>B28/$B$7*100</f>
        <v>0.24161807009621733</v>
      </c>
      <c r="H28" s="189">
        <f>D28/$D$7*100</f>
        <v>0.24167629229408702</v>
      </c>
      <c r="I28" s="232">
        <f>Таблица22462791012131457454[[#This Row],[Столбец3]]*12.7%</f>
        <v>44.170235637000005</v>
      </c>
      <c r="J28" s="205"/>
      <c r="K28" s="232">
        <f>5498.2-Таблица22462791012131457454[[#This Row],[Столбец4]]</f>
        <v>5133.345096</v>
      </c>
      <c r="L28" s="225"/>
    </row>
    <row r="29" spans="1:12" s="133" customFormat="1" ht="42" x14ac:dyDescent="0.2">
      <c r="A29" s="151" t="s">
        <v>103</v>
      </c>
      <c r="B29" s="135">
        <f t="shared" si="3"/>
        <v>11410.431146000001</v>
      </c>
      <c r="C29" s="86">
        <f t="shared" si="3"/>
        <v>9148.97091</v>
      </c>
      <c r="D29" s="240">
        <f t="shared" si="3"/>
        <v>10687.81846</v>
      </c>
      <c r="E29" s="86">
        <f>Таблица22462791012131457454[[#This Row],[Столбец2]]-Таблица22462791012131457454[[#This Row],[Столбец3]]</f>
        <v>-722.61268600000039</v>
      </c>
      <c r="F29" s="135">
        <f>Таблица22462791012131457454[[#This Row],[Столбец2]]*100/Таблица22462791012131457454[[#This Row],[Столбец3]]-100</f>
        <v>-6.332913075360139</v>
      </c>
      <c r="G29" s="135">
        <f t="shared" si="0"/>
        <v>7.9269381680502971</v>
      </c>
      <c r="H29" s="186">
        <f t="shared" si="1"/>
        <v>6.473777641828292</v>
      </c>
      <c r="I29" s="208">
        <f>Таблица22462791012131457454[[#This Row],[Столбец3]]*12.7%</f>
        <v>1449.1247555420002</v>
      </c>
      <c r="J29" s="205"/>
      <c r="K29" s="226">
        <f>5498.2-Таблица22462791012131457454[[#This Row],[Столбец4]]</f>
        <v>-3650.7709100000002</v>
      </c>
      <c r="L29" s="225"/>
    </row>
    <row r="30" spans="1:12" s="133" customFormat="1" ht="21" x14ac:dyDescent="0.2">
      <c r="A30" s="149" t="s">
        <v>36</v>
      </c>
      <c r="B30" s="134">
        <v>6701.9</v>
      </c>
      <c r="C30" s="91">
        <v>4949.2879999999996</v>
      </c>
      <c r="D30" s="245">
        <v>6415.5919999999996</v>
      </c>
      <c r="E30" s="91">
        <f>Таблица22462791012131457454[[#This Row],[Столбец2]]-Таблица22462791012131457454[[#This Row],[Столбец3]]</f>
        <v>-286.30799999999999</v>
      </c>
      <c r="F30" s="134">
        <f>Таблица22462791012131457454[[#This Row],[Столбец2]]*100/Таблица22462791012131457454[[#This Row],[Столбец3]]-100</f>
        <v>-4.2720422566734868</v>
      </c>
      <c r="G30" s="134">
        <f t="shared" si="0"/>
        <v>4.6558755080065302</v>
      </c>
      <c r="H30" s="188">
        <f t="shared" si="1"/>
        <v>3.8860237198202232</v>
      </c>
      <c r="I30" s="205">
        <f>Таблица22462791012131457454[[#This Row],[Столбец3]]*12.7%</f>
        <v>851.1413</v>
      </c>
      <c r="J30" s="205"/>
      <c r="K30" s="226">
        <f>5498.2-Таблица22462791012131457454[[#This Row],[Столбец4]]</f>
        <v>548.91200000000026</v>
      </c>
      <c r="L30" s="225"/>
    </row>
    <row r="31" spans="1:12" s="133" customFormat="1" ht="21" x14ac:dyDescent="0.2">
      <c r="A31" s="149" t="s">
        <v>37</v>
      </c>
      <c r="B31" s="134">
        <v>3792.3989999999999</v>
      </c>
      <c r="C31" s="91">
        <v>4200.6769999999997</v>
      </c>
      <c r="D31" s="245">
        <v>4272.2529999999997</v>
      </c>
      <c r="E31" s="91">
        <f>Таблица22462791012131457454[[#This Row],[Столбец2]]-Таблица22462791012131457454[[#This Row],[Столбец3]]</f>
        <v>479.85399999999981</v>
      </c>
      <c r="F31" s="134">
        <f>Таблица22462791012131457454[[#This Row],[Столбец2]]*100/Таблица22462791012131457454[[#This Row],[Столбец3]]-100</f>
        <v>12.65304626438305</v>
      </c>
      <c r="G31" s="134">
        <f t="shared" si="0"/>
        <v>2.6346166938761333</v>
      </c>
      <c r="H31" s="188">
        <f t="shared" si="1"/>
        <v>2.5877699976982806</v>
      </c>
      <c r="I31" s="205">
        <f>Таблица22462791012131457454[[#This Row],[Столбец3]]*12.7%</f>
        <v>481.63467300000002</v>
      </c>
      <c r="J31" s="205"/>
      <c r="K31" s="225">
        <f>5498.2-Таблица22462791012131457454[[#This Row],[Столбец4]]</f>
        <v>1297.5230000000001</v>
      </c>
      <c r="L31" s="225"/>
    </row>
    <row r="32" spans="1:12" s="133" customFormat="1" ht="25.5" customHeight="1" x14ac:dyDescent="0.2">
      <c r="A32" s="150" t="s">
        <v>29</v>
      </c>
      <c r="B32" s="135">
        <f>B40+B48+B56+B96</f>
        <v>2416.2955010000001</v>
      </c>
      <c r="C32" s="86">
        <f>C40+C48+C56+C96+C141</f>
        <v>2466.2713229999999</v>
      </c>
      <c r="D32" s="240">
        <f>D40+D48+D56+D96</f>
        <v>2498.0216290000003</v>
      </c>
      <c r="E32" s="86">
        <f>Таблица22462791012131457454[[#This Row],[Столбец2]]-Таблица22462791012131457454[[#This Row],[Столбец3]]</f>
        <v>81.726128000000244</v>
      </c>
      <c r="F32" s="135">
        <f>Таблица22462791012131457454[[#This Row],[Столбец2]]*100/Таблица22462791012131457454[[#This Row],[Столбец3]]-100</f>
        <v>3.3822902855291233</v>
      </c>
      <c r="G32" s="135">
        <f t="shared" si="0"/>
        <v>1.6786241279655425</v>
      </c>
      <c r="H32" s="186">
        <f t="shared" si="1"/>
        <v>1.5130904993518846</v>
      </c>
      <c r="I32" s="205">
        <f>Таблица22462791012131457454[[#This Row],[Столбец3]]*12.7%</f>
        <v>306.86952862700002</v>
      </c>
      <c r="J32" s="205"/>
      <c r="K32" s="226">
        <f>5498.2-Таблица22462791012131457454[[#This Row],[Столбец4]]</f>
        <v>3031.9286769999999</v>
      </c>
      <c r="L32" s="225"/>
    </row>
    <row r="33" spans="1:15" s="133" customFormat="1" ht="42" x14ac:dyDescent="0.2">
      <c r="A33" s="151" t="s">
        <v>12</v>
      </c>
      <c r="B33" s="135">
        <f>B34+B39+B40</f>
        <v>1832.5617069999998</v>
      </c>
      <c r="C33" s="166">
        <f>C34+C39+C40</f>
        <v>2076.1047699999999</v>
      </c>
      <c r="D33" s="240">
        <f>D34+D39+D40</f>
        <v>2192.6739499999999</v>
      </c>
      <c r="E33" s="86">
        <f>Таблица22462791012131457454[[#This Row],[Столбец2]]-Таблица22462791012131457454[[#This Row],[Столбец3]]</f>
        <v>360.11224300000003</v>
      </c>
      <c r="F33" s="135">
        <f>Таблица22462791012131457454[[#This Row],[Столбец2]]*100/Таблица22462791012131457454[[#This Row],[Столбец3]]-100</f>
        <v>19.650756731653132</v>
      </c>
      <c r="G33" s="135">
        <f t="shared" si="0"/>
        <v>1.2730985494459688</v>
      </c>
      <c r="H33" s="186">
        <f t="shared" si="1"/>
        <v>1.3281366675954305</v>
      </c>
      <c r="I33" s="205">
        <f>Таблица22462791012131457454[[#This Row],[Столбец3]]*12.7%</f>
        <v>232.73533678899997</v>
      </c>
      <c r="J33" s="205"/>
      <c r="K33" s="225">
        <f>5498.2-Таблица22462791012131457454[[#This Row],[Столбец4]]</f>
        <v>3422.0952299999999</v>
      </c>
      <c r="L33" s="225"/>
      <c r="O33" s="209"/>
    </row>
    <row r="34" spans="1:15" s="133" customFormat="1" ht="21" x14ac:dyDescent="0.2">
      <c r="A34" s="153" t="s">
        <v>27</v>
      </c>
      <c r="B34" s="134">
        <f>B35+B36+B37+B38</f>
        <v>1354.8840029999999</v>
      </c>
      <c r="C34" s="91">
        <f>C35+C36+C37+C38</f>
        <v>1594.3505</v>
      </c>
      <c r="D34" s="245">
        <f>D35+D36+D37+D38</f>
        <v>1674.1937499999999</v>
      </c>
      <c r="E34" s="91">
        <f>Таблица22462791012131457454[[#This Row],[Столбец2]]-Таблица22462791012131457454[[#This Row],[Столбец3]]</f>
        <v>319.30974700000002</v>
      </c>
      <c r="F34" s="134">
        <f>Таблица22462791012131457454[[#This Row],[Столбец2]]*100/Таблица22462791012131457454[[#This Row],[Столбец3]]-100</f>
        <v>23.567312500035484</v>
      </c>
      <c r="G34" s="134">
        <f t="shared" si="0"/>
        <v>0.94125117440689143</v>
      </c>
      <c r="H34" s="188">
        <f t="shared" si="1"/>
        <v>1.0140851575466097</v>
      </c>
      <c r="I34" s="205">
        <f>Таблица22462791012131457454[[#This Row],[Столбец3]]*12.7%</f>
        <v>172.07026838099998</v>
      </c>
      <c r="J34" s="205"/>
      <c r="K34" s="225">
        <f>5498.2-Таблица22462791012131457454[[#This Row],[Столбец4]]</f>
        <v>3903.8494999999998</v>
      </c>
      <c r="L34" s="225"/>
    </row>
    <row r="35" spans="1:15" s="133" customFormat="1" ht="21" x14ac:dyDescent="0.2">
      <c r="A35" s="149" t="s">
        <v>33</v>
      </c>
      <c r="B35" s="132">
        <v>589.80052000000001</v>
      </c>
      <c r="C35" s="96">
        <v>825.7</v>
      </c>
      <c r="D35" s="243">
        <v>847.05301999999995</v>
      </c>
      <c r="E35" s="96">
        <f>Таблица22462791012131457454[[#This Row],[Столбец2]]-Таблица22462791012131457454[[#This Row],[Столбец3]]</f>
        <v>257.25249999999994</v>
      </c>
      <c r="F35" s="132">
        <f>Таблица22462791012131457454[[#This Row],[Столбец2]]*100/Таблица22462791012131457454[[#This Row],[Столбец3]]-100</f>
        <v>43.616865580247349</v>
      </c>
      <c r="G35" s="132">
        <f t="shared" si="0"/>
        <v>0.40974019243461046</v>
      </c>
      <c r="H35" s="189">
        <f t="shared" si="1"/>
        <v>0.51307317043623635</v>
      </c>
      <c r="I35" s="205">
        <f>Таблица22462791012131457454[[#This Row],[Столбец3]]*12.7%</f>
        <v>74.904666039999995</v>
      </c>
      <c r="J35" s="205"/>
      <c r="K35" s="225">
        <f>5498.2-Таблица22462791012131457454[[#This Row],[Столбец4]]</f>
        <v>4672.5</v>
      </c>
      <c r="L35" s="225"/>
    </row>
    <row r="36" spans="1:15" s="133" customFormat="1" ht="21" x14ac:dyDescent="0.2">
      <c r="A36" s="149" t="s">
        <v>34</v>
      </c>
      <c r="B36" s="132">
        <v>126.17</v>
      </c>
      <c r="C36" s="96">
        <v>121.06100000000001</v>
      </c>
      <c r="D36" s="243">
        <v>135.35059999999999</v>
      </c>
      <c r="E36" s="96">
        <f>Таблица22462791012131457454[[#This Row],[Столбец2]]-Таблица22462791012131457454[[#This Row],[Столбец3]]</f>
        <v>9.1805999999999841</v>
      </c>
      <c r="F36" s="132">
        <f>Таблица22462791012131457454[[#This Row],[Столбец2]]*100/Таблица22462791012131457454[[#This Row],[Столбец3]]-100</f>
        <v>7.2763731473408626</v>
      </c>
      <c r="G36" s="132">
        <f t="shared" si="0"/>
        <v>8.7651533571850362E-2</v>
      </c>
      <c r="H36" s="189">
        <f t="shared" si="1"/>
        <v>8.1983960652719054E-2</v>
      </c>
      <c r="I36" s="205">
        <f>Таблица22462791012131457454[[#This Row],[Столбец3]]*12.7%</f>
        <v>16.023589999999999</v>
      </c>
      <c r="J36" s="205"/>
      <c r="K36" s="225">
        <f>5498.2-Таблица22462791012131457454[[#This Row],[Столбец4]]</f>
        <v>5377.1390000000001</v>
      </c>
      <c r="L36" s="225"/>
    </row>
    <row r="37" spans="1:15" s="133" customFormat="1" ht="21" outlineLevel="1" x14ac:dyDescent="0.2">
      <c r="A37" s="149" t="s">
        <v>35</v>
      </c>
      <c r="B37" s="132">
        <v>605.88042299999995</v>
      </c>
      <c r="C37" s="96">
        <v>613.18420000000003</v>
      </c>
      <c r="D37" s="243">
        <v>655.88086999999996</v>
      </c>
      <c r="E37" s="96">
        <f>Таблица22462791012131457454[[#This Row],[Столбец2]]-Таблица22462791012131457454[[#This Row],[Столбец3]]</f>
        <v>50.000447000000008</v>
      </c>
      <c r="F37" s="132">
        <f>Таблица22462791012131457454[[#This Row],[Столбец2]]*100/Таблица22462791012131457454[[#This Row],[Столбец3]]-100</f>
        <v>8.2525272482685921</v>
      </c>
      <c r="G37" s="132">
        <f t="shared" si="0"/>
        <v>0.42091105839035742</v>
      </c>
      <c r="H37" s="132">
        <f t="shared" si="1"/>
        <v>0.39727722994173009</v>
      </c>
      <c r="I37" s="205">
        <f>Таблица22462791012131457454[[#This Row],[Столбец3]]*12.7%</f>
        <v>76.946813720999998</v>
      </c>
      <c r="J37" s="205"/>
      <c r="K37" s="225">
        <f>5498.2-Таблица22462791012131457454[[#This Row],[Столбец4]]</f>
        <v>4885.0158000000001</v>
      </c>
      <c r="L37" s="225"/>
    </row>
    <row r="38" spans="1:15" s="133" customFormat="1" ht="21" outlineLevel="1" x14ac:dyDescent="0.2">
      <c r="A38" s="229" t="s">
        <v>102</v>
      </c>
      <c r="B38" s="199">
        <v>33.033059999999999</v>
      </c>
      <c r="C38" s="243">
        <v>34.405299999999997</v>
      </c>
      <c r="D38" s="243">
        <v>35.909260000000003</v>
      </c>
      <c r="E38" s="243">
        <f>Таблица22462791012131457454[[#This Row],[Столбец2]]-Таблица22462791012131457454[[#This Row],[Столбец3]]</f>
        <v>2.8762000000000043</v>
      </c>
      <c r="F38" s="199">
        <f>Таблица22462791012131457454[[#This Row],[Столбец2]]*100/Таблица22462791012131457454[[#This Row],[Столбец3]]-100</f>
        <v>8.7070347100753196</v>
      </c>
      <c r="G38" s="199">
        <f>B38/$B$7*100</f>
        <v>2.2948390010073292E-2</v>
      </c>
      <c r="H38" s="230">
        <f>D38/$D$7*100</f>
        <v>2.1750796515924261E-2</v>
      </c>
      <c r="I38" s="228">
        <f>Таблица22462791012131457454[[#This Row],[Столбец3]]*12.7%</f>
        <v>4.1951986200000002</v>
      </c>
      <c r="J38" s="225"/>
      <c r="K38" s="228">
        <f>5498.2-Таблица22462791012131457454[[#This Row],[Столбец4]]</f>
        <v>5463.7946999999995</v>
      </c>
      <c r="L38" s="225"/>
    </row>
    <row r="39" spans="1:15" s="133" customFormat="1" ht="21" x14ac:dyDescent="0.2">
      <c r="A39" s="153" t="s">
        <v>28</v>
      </c>
      <c r="B39" s="134">
        <v>210.25696500000001</v>
      </c>
      <c r="C39" s="91">
        <v>199.26105999999999</v>
      </c>
      <c r="D39" s="245">
        <v>235.04895999999999</v>
      </c>
      <c r="E39" s="91">
        <f>Таблица22462791012131457454[[#This Row],[Столбец2]]-Таблица22462791012131457454[[#This Row],[Столбец3]]</f>
        <v>24.791994999999986</v>
      </c>
      <c r="F39" s="134">
        <f>Таблица22462791012131457454[[#This Row],[Столбец2]]*100/Таблица22462791012131457454[[#This Row],[Столбец3]]-100</f>
        <v>11.791283584826786</v>
      </c>
      <c r="G39" s="134">
        <f t="shared" si="0"/>
        <v>0.1460675709472368</v>
      </c>
      <c r="H39" s="188">
        <f t="shared" si="1"/>
        <v>0.1423728057954862</v>
      </c>
      <c r="I39" s="205">
        <f>Таблица22462791012131457454[[#This Row],[Столбец3]]*12.7%</f>
        <v>26.702634555000003</v>
      </c>
      <c r="J39" s="205"/>
      <c r="K39" s="225">
        <f>5498.2-Таблица22462791012131457454[[#This Row],[Столбец4]]</f>
        <v>5298.93894</v>
      </c>
      <c r="L39" s="225"/>
    </row>
    <row r="40" spans="1:15" s="133" customFormat="1" ht="21" x14ac:dyDescent="0.2">
      <c r="A40" s="153" t="s">
        <v>29</v>
      </c>
      <c r="B40" s="134">
        <v>267.42073900000003</v>
      </c>
      <c r="C40" s="91">
        <v>282.49320999999998</v>
      </c>
      <c r="D40" s="245">
        <v>283.43124</v>
      </c>
      <c r="E40" s="91">
        <f>Таблица22462791012131457454[[#This Row],[Столбец2]]-Таблица22462791012131457454[[#This Row],[Столбец3]]</f>
        <v>16.010500999999977</v>
      </c>
      <c r="F40" s="134">
        <f>Таблица22462791012131457454[[#This Row],[Столбец2]]*100/Таблица22462791012131457454[[#This Row],[Столбец3]]-100</f>
        <v>5.9870079859438192</v>
      </c>
      <c r="G40" s="134">
        <f t="shared" si="0"/>
        <v>0.18577980409184067</v>
      </c>
      <c r="H40" s="188">
        <f t="shared" si="1"/>
        <v>0.17167870425333448</v>
      </c>
      <c r="I40" s="205">
        <f>Таблица22462791012131457454[[#This Row],[Столбец3]]*12.7%</f>
        <v>33.962433853</v>
      </c>
      <c r="J40" s="205"/>
      <c r="K40" s="225">
        <f>5498.2-Таблица22462791012131457454[[#This Row],[Столбец4]]</f>
        <v>5215.7067900000002</v>
      </c>
      <c r="L40" s="225"/>
    </row>
    <row r="41" spans="1:15" s="133" customFormat="1" ht="42" x14ac:dyDescent="0.2">
      <c r="A41" s="151" t="s">
        <v>30</v>
      </c>
      <c r="B41" s="135">
        <f>SUM(B42,B47,B48)</f>
        <v>3741.3544199999997</v>
      </c>
      <c r="C41" s="86">
        <f>SUM(C42,C47,C48)</f>
        <v>4399.479875</v>
      </c>
      <c r="D41" s="240">
        <f>SUM(D42,D47,D48)</f>
        <v>4893.7509080000009</v>
      </c>
      <c r="E41" s="86">
        <f>Таблица22462791012131457454[[#This Row],[Столбец2]]-Таблица22462791012131457454[[#This Row],[Столбец3]]</f>
        <v>1152.3964880000012</v>
      </c>
      <c r="F41" s="135">
        <f>Таблица22462791012131457454[[#This Row],[Столбец2]]*100/Таблица22462791012131457454[[#This Row],[Столбец3]]-100</f>
        <v>30.801585699544631</v>
      </c>
      <c r="G41" s="135">
        <f t="shared" si="0"/>
        <v>2.5991555246795648</v>
      </c>
      <c r="H41" s="186">
        <f t="shared" si="1"/>
        <v>2.9642209335287779</v>
      </c>
      <c r="I41" s="205">
        <f>Таблица22462791012131457454[[#This Row],[Столбец3]]*12.7%</f>
        <v>475.15201133999994</v>
      </c>
      <c r="J41" s="205"/>
      <c r="K41" s="225">
        <f>5498.2-Таблица22462791012131457454[[#This Row],[Столбец4]]</f>
        <v>1098.7201249999998</v>
      </c>
      <c r="L41" s="225"/>
    </row>
    <row r="42" spans="1:15" s="133" customFormat="1" ht="21" x14ac:dyDescent="0.2">
      <c r="A42" s="153" t="s">
        <v>27</v>
      </c>
      <c r="B42" s="134">
        <f>B43+B44+B45+B46</f>
        <v>3382.3556499999995</v>
      </c>
      <c r="C42" s="91">
        <f>C43+C44+C45+C46</f>
        <v>3999.375125</v>
      </c>
      <c r="D42" s="245">
        <f>D43+D44+D45+D46</f>
        <v>4478.9858820000009</v>
      </c>
      <c r="E42" s="91">
        <f>Таблица22462791012131457454[[#This Row],[Столбец2]]-Таблица22462791012131457454[[#This Row],[Столбец3]]</f>
        <v>1096.6302320000013</v>
      </c>
      <c r="F42" s="134">
        <f>Таблица22462791012131457454[[#This Row],[Столбец2]]*100/Таблица22462791012131457454[[#This Row],[Столбец3]]-100</f>
        <v>32.42208524109526</v>
      </c>
      <c r="G42" s="134">
        <f t="shared" si="0"/>
        <v>2.3497555663621519</v>
      </c>
      <c r="H42" s="188">
        <f t="shared" si="1"/>
        <v>2.7129913152507061</v>
      </c>
      <c r="I42" s="205">
        <f>Таблица22462791012131457454[[#This Row],[Столбец3]]*12.7%</f>
        <v>429.55916754999993</v>
      </c>
      <c r="J42" s="205"/>
      <c r="K42" s="225">
        <f>5498.2-Таблица22462791012131457454[[#This Row],[Столбец4]]</f>
        <v>1498.8248749999998</v>
      </c>
      <c r="L42" s="225"/>
    </row>
    <row r="43" spans="1:15" s="136" customFormat="1" ht="21" x14ac:dyDescent="0.2">
      <c r="A43" s="149" t="s">
        <v>33</v>
      </c>
      <c r="B43" s="134">
        <f>554.962997+917.169968</f>
        <v>1472.132965</v>
      </c>
      <c r="C43" s="91">
        <v>2093.4499999999998</v>
      </c>
      <c r="D43" s="245">
        <v>2143.4505210000002</v>
      </c>
      <c r="E43" s="91">
        <f>Таблица22462791012131457454[[#This Row],[Столбец2]]-Таблица22462791012131457454[[#This Row],[Столбец3]]</f>
        <v>671.3175560000002</v>
      </c>
      <c r="F43" s="134">
        <f>Таблица22462791012131457454[[#This Row],[Столбец2]]*100/Таблица22462791012131457454[[#This Row],[Столбец3]]-100</f>
        <v>45.601693050871944</v>
      </c>
      <c r="G43" s="134">
        <f t="shared" si="0"/>
        <v>1.0227051755878982</v>
      </c>
      <c r="H43" s="188">
        <f t="shared" si="1"/>
        <v>1.29832127212376</v>
      </c>
      <c r="I43" s="205">
        <f>Таблица22462791012131457454[[#This Row],[Столбец3]]*12.7%</f>
        <v>186.960886555</v>
      </c>
      <c r="J43" s="205"/>
      <c r="K43" s="225">
        <f>5498.2-Таблица22462791012131457454[[#This Row],[Столбец4]]</f>
        <v>3404.75</v>
      </c>
      <c r="L43" s="225"/>
    </row>
    <row r="44" spans="1:15" s="133" customFormat="1" ht="21" x14ac:dyDescent="0.2">
      <c r="A44" s="149" t="s">
        <v>34</v>
      </c>
      <c r="B44" s="154">
        <f>88+120.07</f>
        <v>208.07</v>
      </c>
      <c r="C44" s="99">
        <f>85.81+117.79</f>
        <v>203.60000000000002</v>
      </c>
      <c r="D44" s="246">
        <f>92.2476+124.42</f>
        <v>216.66759999999999</v>
      </c>
      <c r="E44" s="99">
        <f>Таблица22462791012131457454[[#This Row],[Столбец2]]-Таблица22462791012131457454[[#This Row],[Столбец3]]</f>
        <v>8.5975999999999999</v>
      </c>
      <c r="F44" s="154">
        <f>Таблица22462791012131457454[[#This Row],[Столбец2]]*100/Таблица22462791012131457454[[#This Row],[Столбец3]]-100</f>
        <v>4.1320709376652047</v>
      </c>
      <c r="G44" s="154">
        <f t="shared" si="0"/>
        <v>0.14454826496231199</v>
      </c>
      <c r="H44" s="190">
        <f t="shared" si="1"/>
        <v>0.13123893054865712</v>
      </c>
      <c r="I44" s="205">
        <f>Таблица22462791012131457454[[#This Row],[Столбец3]]*12.7%</f>
        <v>26.424889999999998</v>
      </c>
      <c r="J44" s="205"/>
      <c r="K44" s="225">
        <f>5498.2-Таблица22462791012131457454[[#This Row],[Столбец4]]</f>
        <v>5294.5999999999995</v>
      </c>
      <c r="L44" s="225"/>
    </row>
    <row r="45" spans="1:15" s="133" customFormat="1" ht="21" outlineLevel="1" x14ac:dyDescent="0.2">
      <c r="A45" s="149" t="s">
        <v>35</v>
      </c>
      <c r="B45" s="134">
        <v>1581.952685</v>
      </c>
      <c r="C45" s="91">
        <v>1582.0251250000001</v>
      </c>
      <c r="D45" s="245">
        <v>1981.2677610000001</v>
      </c>
      <c r="E45" s="91">
        <f>Таблица22462791012131457454[[#This Row],[Столбец2]]-Таблица22462791012131457454[[#This Row],[Столбец3]]</f>
        <v>399.31507600000009</v>
      </c>
      <c r="F45" s="134">
        <f>Таблица22462791012131457454[[#This Row],[Столбец2]]*100/Таблица22462791012131457454[[#This Row],[Столбец3]]-100</f>
        <v>25.241910190253265</v>
      </c>
      <c r="G45" s="134">
        <f t="shared" si="0"/>
        <v>1.098998009656466</v>
      </c>
      <c r="H45" s="188">
        <f t="shared" si="1"/>
        <v>1.2000846554084339</v>
      </c>
      <c r="I45" s="205">
        <f>Таблица22462791012131457454[[#This Row],[Столбец3]]*12.7%</f>
        <v>200.90799099500001</v>
      </c>
      <c r="J45" s="205"/>
      <c r="K45" s="226">
        <f>5498.2-Таблица22462791012131457454[[#This Row],[Столбец4]]</f>
        <v>3916.1748749999997</v>
      </c>
      <c r="L45" s="225"/>
    </row>
    <row r="46" spans="1:15" s="133" customFormat="1" ht="21" outlineLevel="1" x14ac:dyDescent="0.2">
      <c r="A46" s="229" t="s">
        <v>102</v>
      </c>
      <c r="B46" s="134">
        <v>120.2</v>
      </c>
      <c r="C46" s="247">
        <v>120.3</v>
      </c>
      <c r="D46" s="243">
        <v>137.6</v>
      </c>
      <c r="E46" s="91">
        <f>Таблица22462791012131457454[[#This Row],[Столбец2]]-Таблица22462791012131457454[[#This Row],[Столбец3]]</f>
        <v>17.399999999999991</v>
      </c>
      <c r="F46" s="134">
        <f>Таблица22462791012131457454[[#This Row],[Столбец2]]*100/Таблица22462791012131457454[[#This Row],[Столбец3]]-100</f>
        <v>14.475873544093176</v>
      </c>
      <c r="G46" s="134">
        <f>B46/$B$7*100</f>
        <v>8.3504116155476052E-2</v>
      </c>
      <c r="H46" s="188">
        <f>D46/$D$7*100</f>
        <v>8.334645716985474E-2</v>
      </c>
      <c r="I46" s="228">
        <f>Таблица22462791012131457454[[#This Row],[Столбец3]]*12.7%</f>
        <v>15.265400000000001</v>
      </c>
      <c r="J46" s="225"/>
      <c r="K46" s="228">
        <f>5498.2-Таблица22462791012131457454[[#This Row],[Столбец4]]</f>
        <v>5377.9</v>
      </c>
      <c r="L46" s="225"/>
    </row>
    <row r="47" spans="1:15" s="133" customFormat="1" ht="21" x14ac:dyDescent="0.2">
      <c r="A47" s="153" t="s">
        <v>28</v>
      </c>
      <c r="B47" s="134">
        <f>81.257352</f>
        <v>81.257351999999997</v>
      </c>
      <c r="C47" s="91">
        <v>89.469750000000005</v>
      </c>
      <c r="D47" s="245">
        <v>89.469750000000005</v>
      </c>
      <c r="E47" s="91">
        <f>Таблица22462791012131457454[[#This Row],[Столбец2]]-Таблица22462791012131457454[[#This Row],[Столбец3]]</f>
        <v>8.2123980000000074</v>
      </c>
      <c r="F47" s="134">
        <f>Таблица22462791012131457454[[#This Row],[Столбец2]]*100/Таблица22462791012131457454[[#This Row],[Столбец3]]-100</f>
        <v>10.106652257139771</v>
      </c>
      <c r="G47" s="134">
        <f t="shared" si="0"/>
        <v>5.6450277536559103E-2</v>
      </c>
      <c r="H47" s="188">
        <f t="shared" si="1"/>
        <v>5.4193217197475385E-2</v>
      </c>
      <c r="I47" s="205">
        <f>Таблица22462791012131457454[[#This Row],[Столбец3]]*12.7%</f>
        <v>10.319683703999999</v>
      </c>
      <c r="J47" s="205"/>
      <c r="K47" s="225">
        <f>5498.2-Таблица22462791012131457454[[#This Row],[Столбец4]]</f>
        <v>5408.7302499999996</v>
      </c>
      <c r="L47" s="225"/>
    </row>
    <row r="48" spans="1:15" s="133" customFormat="1" ht="21" x14ac:dyDescent="0.2">
      <c r="A48" s="153" t="s">
        <v>29</v>
      </c>
      <c r="B48" s="134">
        <f>0.5867+277.154718</f>
        <v>277.74141800000001</v>
      </c>
      <c r="C48" s="91">
        <v>310.63499999999999</v>
      </c>
      <c r="D48" s="245">
        <v>325.295276</v>
      </c>
      <c r="E48" s="91">
        <f>Таблица22462791012131457454[[#This Row],[Столбец2]]-Таблица22462791012131457454[[#This Row],[Столбец3]]</f>
        <v>47.553857999999991</v>
      </c>
      <c r="F48" s="134">
        <f>Таблица22462791012131457454[[#This Row],[Столбец2]]*100/Таблица22462791012131457454[[#This Row],[Столбец3]]-100</f>
        <v>17.121630019185687</v>
      </c>
      <c r="G48" s="134">
        <f t="shared" si="0"/>
        <v>0.19294968078085381</v>
      </c>
      <c r="H48" s="188">
        <f t="shared" si="1"/>
        <v>0.1970364010805965</v>
      </c>
      <c r="I48" s="205">
        <f>Таблица22462791012131457454[[#This Row],[Столбец3]]*12.7%</f>
        <v>35.273160086000004</v>
      </c>
      <c r="J48" s="205"/>
      <c r="K48" s="225">
        <f>5498.2-Таблица22462791012131457454[[#This Row],[Столбец4]]</f>
        <v>5187.5649999999996</v>
      </c>
      <c r="L48" s="225"/>
    </row>
    <row r="49" spans="1:12" s="133" customFormat="1" ht="21" x14ac:dyDescent="0.2">
      <c r="A49" s="143" t="s">
        <v>31</v>
      </c>
      <c r="B49" s="135">
        <f>SUM(B57,B65,B73,B81)</f>
        <v>18971.108175000001</v>
      </c>
      <c r="C49" s="86">
        <f>SUM(C57,C65,C73,C81)</f>
        <v>21315.030490000001</v>
      </c>
      <c r="D49" s="240">
        <f>SUM(D57,D65,D73,D81)</f>
        <v>23423.478958</v>
      </c>
      <c r="E49" s="86">
        <f>Таблица22462791012131457454[[#This Row],[Столбец2]]-Таблица22462791012131457454[[#This Row],[Столбец3]]</f>
        <v>4452.3707829999985</v>
      </c>
      <c r="F49" s="135">
        <f>Таблица22462791012131457454[[#This Row],[Столбец2]]*100/Таблица22462791012131457454[[#This Row],[Столбец3]]-100</f>
        <v>23.469218255090141</v>
      </c>
      <c r="G49" s="135">
        <f t="shared" si="0"/>
        <v>13.179414481225468</v>
      </c>
      <c r="H49" s="186">
        <f t="shared" si="1"/>
        <v>14.187965012659454</v>
      </c>
      <c r="I49" s="205">
        <f>Таблица22462791012131457454[[#This Row],[Столбец3]]*12.7%</f>
        <v>2409.330738225</v>
      </c>
      <c r="J49" s="205"/>
      <c r="K49" s="225">
        <f>5498.2-Таблица22462791012131457454[[#This Row],[Столбец4]]</f>
        <v>-15816.83049</v>
      </c>
      <c r="L49" s="225"/>
    </row>
    <row r="50" spans="1:12" s="133" customFormat="1" ht="21" x14ac:dyDescent="0.2">
      <c r="A50" s="153" t="s">
        <v>27</v>
      </c>
      <c r="B50" s="134">
        <f t="shared" ref="B50:D54" si="4">B58+B66+B74+B82</f>
        <v>15889.678558</v>
      </c>
      <c r="C50" s="91">
        <f t="shared" si="4"/>
        <v>18589.224542</v>
      </c>
      <c r="D50" s="245">
        <f t="shared" si="4"/>
        <v>20645.356510000001</v>
      </c>
      <c r="E50" s="91">
        <f>Таблица22462791012131457454[[#This Row],[Столбец2]]-Таблица22462791012131457454[[#This Row],[Столбец3]]</f>
        <v>4755.6779520000018</v>
      </c>
      <c r="F50" s="134">
        <f>Таблица22462791012131457454[[#This Row],[Столбец2]]*100/Таблица22462791012131457454[[#This Row],[Столбец3]]-100</f>
        <v>29.92935278483435</v>
      </c>
      <c r="G50" s="134">
        <f t="shared" si="0"/>
        <v>11.038715174545834</v>
      </c>
      <c r="H50" s="188">
        <f t="shared" si="1"/>
        <v>12.505213096781228</v>
      </c>
      <c r="I50" s="205">
        <f>Таблица22462791012131457454[[#This Row],[Столбец3]]*12.7%</f>
        <v>2017.989176866</v>
      </c>
      <c r="J50" s="205"/>
      <c r="K50" s="225">
        <f>5498.2-Таблица22462791012131457454[[#This Row],[Столбец4]]</f>
        <v>-13091.024541999999</v>
      </c>
      <c r="L50" s="225"/>
    </row>
    <row r="51" spans="1:12" s="133" customFormat="1" ht="21" x14ac:dyDescent="0.2">
      <c r="A51" s="149" t="s">
        <v>33</v>
      </c>
      <c r="B51" s="132">
        <f t="shared" si="4"/>
        <v>6729.1343310000002</v>
      </c>
      <c r="C51" s="96">
        <f t="shared" si="4"/>
        <v>9279.5338520000005</v>
      </c>
      <c r="D51" s="243">
        <f t="shared" si="4"/>
        <v>9279.252292000001</v>
      </c>
      <c r="E51" s="96">
        <f>Таблица22462791012131457454[[#This Row],[Столбец2]]-Таблица22462791012131457454[[#This Row],[Столбец3]]</f>
        <v>2550.1179610000008</v>
      </c>
      <c r="F51" s="132">
        <f>Таблица22462791012131457454[[#This Row],[Столбец2]]*100/Таблица22462791012131457454[[#This Row],[Столбец3]]-100</f>
        <v>37.896671927799559</v>
      </c>
      <c r="G51" s="132">
        <f t="shared" si="0"/>
        <v>4.6747954642398142</v>
      </c>
      <c r="H51" s="189">
        <f t="shared" si="1"/>
        <v>5.6205872363623159</v>
      </c>
      <c r="I51" s="205">
        <f>Таблица22462791012131457454[[#This Row],[Столбец3]]*12.7%</f>
        <v>854.60006003700005</v>
      </c>
      <c r="J51" s="205"/>
      <c r="K51" s="225">
        <f>5498.2-Таблица22462791012131457454[[#This Row],[Столбец4]]</f>
        <v>-3781.3338520000007</v>
      </c>
      <c r="L51" s="225"/>
    </row>
    <row r="52" spans="1:12" s="133" customFormat="1" ht="21" x14ac:dyDescent="0.2">
      <c r="A52" s="149" t="s">
        <v>34</v>
      </c>
      <c r="B52" s="132">
        <f t="shared" si="4"/>
        <v>1031.248</v>
      </c>
      <c r="C52" s="96">
        <f t="shared" si="4"/>
        <v>970.54199999999992</v>
      </c>
      <c r="D52" s="243">
        <f t="shared" si="4"/>
        <v>1230.3231000000001</v>
      </c>
      <c r="E52" s="96">
        <f>Таблица22462791012131457454[[#This Row],[Столбец2]]-Таблица22462791012131457454[[#This Row],[Столбец3]]</f>
        <v>199.07510000000002</v>
      </c>
      <c r="F52" s="132">
        <f>Таблица22462791012131457454[[#This Row],[Столбец2]]*100/Таблица22462791012131457454[[#This Row],[Столбец3]]-100</f>
        <v>19.304289559834302</v>
      </c>
      <c r="G52" s="132">
        <f t="shared" si="0"/>
        <v>0.71641807634860544</v>
      </c>
      <c r="H52" s="189">
        <f t="shared" si="1"/>
        <v>0.7452258107502393</v>
      </c>
      <c r="I52" s="205">
        <f>Таблица22462791012131457454[[#This Row],[Столбец3]]*12.7%</f>
        <v>130.96849600000002</v>
      </c>
      <c r="J52" s="205"/>
      <c r="K52" s="225">
        <f>5498.2-Таблица22462791012131457454[[#This Row],[Столбец4]]</f>
        <v>4527.6579999999994</v>
      </c>
      <c r="L52" s="225"/>
    </row>
    <row r="53" spans="1:12" s="133" customFormat="1" ht="21" outlineLevel="1" x14ac:dyDescent="0.2">
      <c r="A53" s="149" t="s">
        <v>35</v>
      </c>
      <c r="B53" s="132">
        <f t="shared" si="4"/>
        <v>7985.6803199999995</v>
      </c>
      <c r="C53" s="96">
        <f t="shared" si="4"/>
        <v>8188.8401330000006</v>
      </c>
      <c r="D53" s="243">
        <f t="shared" si="4"/>
        <v>9978.1864959999984</v>
      </c>
      <c r="E53" s="96">
        <f>Таблица22462791012131457454[[#This Row],[Столбец2]]-Таблица22462791012131457454[[#This Row],[Столбец3]]</f>
        <v>1992.506175999999</v>
      </c>
      <c r="F53" s="132">
        <f>Таблица22462791012131457454[[#This Row],[Столбец2]]*100/Таблица22462791012131457454[[#This Row],[Столбец3]]-100</f>
        <v>24.950988471324123</v>
      </c>
      <c r="G53" s="132">
        <f t="shared" si="0"/>
        <v>5.5477302580846848</v>
      </c>
      <c r="H53" s="189">
        <f t="shared" si="1"/>
        <v>6.0439425394017938</v>
      </c>
      <c r="I53" s="205">
        <f>Таблица22462791012131457454[[#This Row],[Столбец3]]*12.7%</f>
        <v>1014.18140064</v>
      </c>
      <c r="J53" s="205"/>
      <c r="K53" s="225">
        <f>5498.2-Таблица22462791012131457454[[#This Row],[Столбец4]]</f>
        <v>-2690.6401330000008</v>
      </c>
      <c r="L53" s="225"/>
    </row>
    <row r="54" spans="1:12" s="133" customFormat="1" ht="21" outlineLevel="1" x14ac:dyDescent="0.2">
      <c r="A54" s="229" t="s">
        <v>102</v>
      </c>
      <c r="B54" s="132">
        <f t="shared" si="4"/>
        <v>143.61590699999999</v>
      </c>
      <c r="C54" s="96">
        <f t="shared" si="4"/>
        <v>150.30855699999998</v>
      </c>
      <c r="D54" s="243">
        <f t="shared" si="4"/>
        <v>157.59462199999999</v>
      </c>
      <c r="E54" s="96">
        <f>Таблица22462791012131457454[[#This Row],[Столбец2]]-Таблица22462791012131457454[[#This Row],[Столбец3]]</f>
        <v>13.978714999999994</v>
      </c>
      <c r="F54" s="132">
        <f>Таблица22462791012131457454[[#This Row],[Столбец2]]*100/Таблица22462791012131457454[[#This Row],[Столбец3]]-100</f>
        <v>9.7334029997108757</v>
      </c>
      <c r="G54" s="132">
        <f>B54/$B$7*100</f>
        <v>9.9771375872729162E-2</v>
      </c>
      <c r="H54" s="189">
        <f>D54/$D$7*100</f>
        <v>9.5457510266878265E-2</v>
      </c>
      <c r="I54" s="232">
        <f>Таблица22462791012131457454[[#This Row],[Столбец3]]*12.7%</f>
        <v>18.239220189000001</v>
      </c>
      <c r="J54" s="205"/>
      <c r="K54" s="232">
        <f>5498.2-Таблица22462791012131457454[[#This Row],[Столбец4]]</f>
        <v>5347.8914429999995</v>
      </c>
      <c r="L54" s="225"/>
    </row>
    <row r="55" spans="1:12" s="133" customFormat="1" ht="21" x14ac:dyDescent="0.2">
      <c r="A55" s="153" t="s">
        <v>28</v>
      </c>
      <c r="B55" s="134">
        <f>B63+B71+B87</f>
        <v>1360.6921130000001</v>
      </c>
      <c r="C55" s="91">
        <f>C63+C71+C79+C87</f>
        <v>1005.1001</v>
      </c>
      <c r="D55" s="245">
        <f>D63+D71+D79+D87</f>
        <v>1046.8197500000001</v>
      </c>
      <c r="E55" s="91">
        <f>Таблица22462791012131457454[[#This Row],[Столбец2]]-Таблица22462791012131457454[[#This Row],[Столбец3]]</f>
        <v>-313.87236299999995</v>
      </c>
      <c r="F55" s="134">
        <f>Таблица22462791012131457454[[#This Row],[Столбец2]]*100/Таблица22462791012131457454[[#This Row],[Столбец3]]-100</f>
        <v>-23.067111215040896</v>
      </c>
      <c r="G55" s="134">
        <f t="shared" si="0"/>
        <v>0.94528612525617417</v>
      </c>
      <c r="H55" s="188">
        <f t="shared" si="1"/>
        <v>0.63407498152567632</v>
      </c>
      <c r="I55" s="205">
        <f>Таблица22462791012131457454[[#This Row],[Столбец3]]*12.7%</f>
        <v>172.80789835100001</v>
      </c>
      <c r="J55" s="205"/>
      <c r="K55" s="225">
        <f>5498.2-Таблица22462791012131457454[[#This Row],[Столбец4]]</f>
        <v>4493.0999000000002</v>
      </c>
      <c r="L55" s="225"/>
    </row>
    <row r="56" spans="1:12" s="133" customFormat="1" ht="21" x14ac:dyDescent="0.2">
      <c r="A56" s="153" t="s">
        <v>29</v>
      </c>
      <c r="B56" s="134">
        <f>B64+B72+B80+B88</f>
        <v>1720.7375039999999</v>
      </c>
      <c r="C56" s="91">
        <f>C64+C72+C80+C88</f>
        <v>1720.7058479999998</v>
      </c>
      <c r="D56" s="245">
        <f>D64+D72+D80+D88</f>
        <v>1731.302698</v>
      </c>
      <c r="E56" s="91">
        <f>Таблица22462791012131457454[[#This Row],[Столбец2]]-Таблица22462791012131457454[[#This Row],[Столбец3]]</f>
        <v>10.56519400000002</v>
      </c>
      <c r="F56" s="134">
        <f>Таблица22462791012131457454[[#This Row],[Столбец2]]*100/Таблица22462791012131457454[[#This Row],[Столбец3]]-100</f>
        <v>0.61399219668545868</v>
      </c>
      <c r="G56" s="134">
        <f t="shared" si="0"/>
        <v>1.1954131814234603</v>
      </c>
      <c r="H56" s="188">
        <f t="shared" si="1"/>
        <v>1.0486769343525506</v>
      </c>
      <c r="I56" s="205">
        <f>Таблица22462791012131457454[[#This Row],[Столбец3]]*12.7%</f>
        <v>218.53366300799999</v>
      </c>
      <c r="J56" s="205"/>
      <c r="K56" s="225">
        <f>5498.2-Таблица22462791012131457454[[#This Row],[Столбец4]]</f>
        <v>3777.4941520000002</v>
      </c>
      <c r="L56" s="225"/>
    </row>
    <row r="57" spans="1:12" s="133" customFormat="1" ht="21" x14ac:dyDescent="0.2">
      <c r="A57" s="151" t="s">
        <v>2</v>
      </c>
      <c r="B57" s="86">
        <f>SUM(B58,B63,B64)</f>
        <v>8231.8673260000014</v>
      </c>
      <c r="C57" s="86">
        <f>SUM(C58,C63,C64)</f>
        <v>9977.585411</v>
      </c>
      <c r="D57" s="240">
        <f>SUM(D58,D63,D64)</f>
        <v>10667.695829999999</v>
      </c>
      <c r="E57" s="86">
        <f>Таблица22462791012131457454[[#This Row],[Столбец2]]-Таблица22462791012131457454[[#This Row],[Столбец3]]</f>
        <v>2435.8285039999973</v>
      </c>
      <c r="F57" s="86">
        <f>Таблица22462791012131457454[[#This Row],[Столбец2]]*100/Таблица22462791012131457454[[#This Row],[Столбец3]]-100</f>
        <v>29.590230351581795</v>
      </c>
      <c r="G57" s="86">
        <f t="shared" si="0"/>
        <v>5.7187587800896189</v>
      </c>
      <c r="H57" s="87">
        <f t="shared" si="1"/>
        <v>6.4615890522974784</v>
      </c>
      <c r="I57" s="205">
        <f>Таблица22462791012131457454[[#This Row],[Столбец3]]*12.7%</f>
        <v>1045.4471504020003</v>
      </c>
      <c r="J57" s="205"/>
      <c r="K57" s="225">
        <f>5498.2-Таблица22462791012131457454[[#This Row],[Столбец4]]</f>
        <v>-4479.3854110000002</v>
      </c>
      <c r="L57" s="225"/>
    </row>
    <row r="58" spans="1:12" s="133" customFormat="1" ht="21" x14ac:dyDescent="0.2">
      <c r="A58" s="153" t="s">
        <v>27</v>
      </c>
      <c r="B58" s="154">
        <f>B59+B60+B61+B62</f>
        <v>6460.2870260000009</v>
      </c>
      <c r="C58" s="99">
        <f>C59+C60+C61+C62</f>
        <v>8215.5161160000007</v>
      </c>
      <c r="D58" s="246">
        <f>D59+D60+D61+D62</f>
        <v>8905.6265349999994</v>
      </c>
      <c r="E58" s="99">
        <f>Таблица22462791012131457454[[#This Row],[Столбец2]]-Таблица22462791012131457454[[#This Row],[Столбец3]]</f>
        <v>2445.3395089999985</v>
      </c>
      <c r="F58" s="154">
        <f>Таблица22462791012131457454[[#This Row],[Столбец2]]*100/Таблица22462791012131457454[[#This Row],[Столбец3]]-100</f>
        <v>37.851870964223593</v>
      </c>
      <c r="G58" s="154">
        <f t="shared" si="0"/>
        <v>4.4880246107888428</v>
      </c>
      <c r="H58" s="190">
        <f t="shared" si="1"/>
        <v>5.3942763122826989</v>
      </c>
      <c r="I58" s="205">
        <f>Таблица22462791012131457454[[#This Row],[Столбец3]]*12.7%</f>
        <v>820.45645230200012</v>
      </c>
      <c r="J58" s="205"/>
      <c r="K58" s="225">
        <f>5498.2-Таблица22462791012131457454[[#This Row],[Столбец4]]</f>
        <v>-2717.3161160000009</v>
      </c>
      <c r="L58" s="225"/>
    </row>
    <row r="59" spans="1:12" s="133" customFormat="1" ht="21" x14ac:dyDescent="0.2">
      <c r="A59" s="149" t="s">
        <v>33</v>
      </c>
      <c r="B59" s="132">
        <v>4463.64912</v>
      </c>
      <c r="C59" s="96">
        <v>6207.4430000000002</v>
      </c>
      <c r="D59" s="243">
        <v>6207.2950000000001</v>
      </c>
      <c r="E59" s="96">
        <f>Таблица22462791012131457454[[#This Row],[Столбец2]]-Таблица22462791012131457454[[#This Row],[Столбец3]]</f>
        <v>1743.64588</v>
      </c>
      <c r="F59" s="132">
        <f>Таблица22462791012131457454[[#This Row],[Столбец2]]*100/Таблица22462791012131457454[[#This Row],[Столбец3]]-100</f>
        <v>39.063238017239144</v>
      </c>
      <c r="G59" s="132">
        <f t="shared" si="0"/>
        <v>3.1009407204140471</v>
      </c>
      <c r="H59" s="189">
        <f t="shared" si="1"/>
        <v>3.759854991701697</v>
      </c>
      <c r="I59" s="205">
        <f>Таблица22462791012131457454[[#This Row],[Столбец3]]*12.7%</f>
        <v>566.88343824000003</v>
      </c>
      <c r="J59" s="205"/>
      <c r="K59" s="225">
        <f>5498.2-Таблица22462791012131457454[[#This Row],[Столбец4]]</f>
        <v>-709.24300000000039</v>
      </c>
      <c r="L59" s="225"/>
    </row>
    <row r="60" spans="1:12" s="133" customFormat="1" ht="21" x14ac:dyDescent="0.2">
      <c r="A60" s="149" t="s">
        <v>34</v>
      </c>
      <c r="B60" s="154">
        <v>455.16699999999997</v>
      </c>
      <c r="C60" s="99">
        <v>419.78699999999998</v>
      </c>
      <c r="D60" s="246">
        <v>520.77679999999998</v>
      </c>
      <c r="E60" s="99">
        <f>Таблица22462791012131457454[[#This Row],[Столбец2]]-Таблица22462791012131457454[[#This Row],[Столбец3]]</f>
        <v>65.609800000000007</v>
      </c>
      <c r="F60" s="154">
        <f>Таблица22462791012131457454[[#This Row],[Столбец2]]*100/Таблица22462791012131457454[[#This Row],[Столбец3]]-100</f>
        <v>14.414445686967653</v>
      </c>
      <c r="G60" s="154">
        <f t="shared" si="0"/>
        <v>0.31620896870332416</v>
      </c>
      <c r="H60" s="190">
        <f t="shared" si="1"/>
        <v>0.3154425963390553</v>
      </c>
      <c r="I60" s="205">
        <f>Таблица22462791012131457454[[#This Row],[Столбец3]]*12.7%</f>
        <v>57.806208999999996</v>
      </c>
      <c r="J60" s="205"/>
      <c r="K60" s="225">
        <f>5498.2-Таблица22462791012131457454[[#This Row],[Столбец4]]</f>
        <v>5078.4129999999996</v>
      </c>
      <c r="L60" s="225"/>
    </row>
    <row r="61" spans="1:12" s="136" customFormat="1" ht="21" outlineLevel="1" x14ac:dyDescent="0.2">
      <c r="A61" s="149" t="s">
        <v>95</v>
      </c>
      <c r="B61" s="132">
        <v>1492.11646</v>
      </c>
      <c r="C61" s="96">
        <v>1538.9316700000002</v>
      </c>
      <c r="D61" s="243">
        <v>2123.2753219999995</v>
      </c>
      <c r="E61" s="96">
        <f>Таблица22462791012131457454[[#This Row],[Столбец2]]-Таблица22462791012131457454[[#This Row],[Столбец3]]</f>
        <v>631.15886199999954</v>
      </c>
      <c r="F61" s="132">
        <f>Таблица22462791012131457454[[#This Row],[Столбец2]]*100/Таблица22462791012131457454[[#This Row],[Столбец3]]-100</f>
        <v>42.299571040185413</v>
      </c>
      <c r="G61" s="132">
        <f t="shared" si="0"/>
        <v>1.0365879051026432</v>
      </c>
      <c r="H61" s="189">
        <f t="shared" si="1"/>
        <v>1.2861008407331578</v>
      </c>
      <c r="I61" s="205">
        <f>Таблица22462791012131457454[[#This Row],[Столбец3]]*12.7%</f>
        <v>189.49879042000001</v>
      </c>
      <c r="J61" s="205"/>
      <c r="K61" s="225">
        <f>5498.2-Таблица22462791012131457454[[#This Row],[Столбец4]]</f>
        <v>3959.2683299999999</v>
      </c>
      <c r="L61" s="225"/>
    </row>
    <row r="62" spans="1:12" s="133" customFormat="1" ht="21" outlineLevel="1" x14ac:dyDescent="0.2">
      <c r="A62" s="229" t="s">
        <v>102</v>
      </c>
      <c r="B62" s="199">
        <v>49.354446000000003</v>
      </c>
      <c r="C62" s="243">
        <v>49.354446000000003</v>
      </c>
      <c r="D62" s="243">
        <v>54.279412999999998</v>
      </c>
      <c r="E62" s="96">
        <f>Таблица22462791012131457454[[#This Row],[Столбец2]]-Таблица22462791012131457454[[#This Row],[Столбец3]]</f>
        <v>4.9249669999999952</v>
      </c>
      <c r="F62" s="132">
        <f>Таблица22462791012131457454[[#This Row],[Столбец2]]*100/Таблица22462791012131457454[[#This Row],[Столбец3]]-100</f>
        <v>9.978770706898402</v>
      </c>
      <c r="G62" s="132">
        <f>B62/$B$7*100</f>
        <v>3.4287016568828377E-2</v>
      </c>
      <c r="H62" s="189">
        <f>D62/$D$7*100</f>
        <v>3.2877883508788931E-2</v>
      </c>
      <c r="I62" s="228">
        <f>Таблица22462791012131457454[[#This Row],[Столбец3]]*12.7%</f>
        <v>6.2680146420000007</v>
      </c>
      <c r="J62" s="225"/>
      <c r="K62" s="228">
        <f>5498.2-Таблица22462791012131457454[[#This Row],[Столбец4]]</f>
        <v>5448.8455539999995</v>
      </c>
      <c r="L62" s="225"/>
    </row>
    <row r="63" spans="1:12" s="133" customFormat="1" ht="21" x14ac:dyDescent="0.2">
      <c r="A63" s="153" t="s">
        <v>28</v>
      </c>
      <c r="B63" s="134">
        <v>612.52500499999996</v>
      </c>
      <c r="C63" s="91">
        <f>457.591+145.423</f>
        <v>603.01400000000001</v>
      </c>
      <c r="D63" s="245">
        <f>457.591+145.423</f>
        <v>603.01400000000001</v>
      </c>
      <c r="E63" s="91">
        <f>Таблица22462791012131457454[[#This Row],[Столбец2]]-Таблица22462791012131457454[[#This Row],[Столбец3]]</f>
        <v>-9.5110049999999546</v>
      </c>
      <c r="F63" s="134">
        <f>Таблица22462791012131457454[[#This Row],[Столбец2]]*100/Таблица22462791012131457454[[#This Row],[Столбец3]]-100</f>
        <v>-1.5527537524774147</v>
      </c>
      <c r="G63" s="134">
        <f t="shared" si="0"/>
        <v>0.42552711452290803</v>
      </c>
      <c r="H63" s="188">
        <f t="shared" si="1"/>
        <v>0.36525494566731681</v>
      </c>
      <c r="I63" s="205">
        <f>Таблица22462791012131457454[[#This Row],[Столбец3]]*12.7%</f>
        <v>77.790675634999999</v>
      </c>
      <c r="J63" s="205"/>
      <c r="K63" s="225">
        <f>5498.2-Таблица22462791012131457454[[#This Row],[Столбец4]]</f>
        <v>4895.1859999999997</v>
      </c>
      <c r="L63" s="225"/>
    </row>
    <row r="64" spans="1:12" s="133" customFormat="1" ht="21" x14ac:dyDescent="0.2">
      <c r="A64" s="153" t="s">
        <v>29</v>
      </c>
      <c r="B64" s="134">
        <v>1159.0552949999999</v>
      </c>
      <c r="C64" s="134">
        <v>1159.0552949999999</v>
      </c>
      <c r="D64" s="134">
        <v>1159.0552949999999</v>
      </c>
      <c r="E64" s="91">
        <f>Таблица22462791012131457454[[#This Row],[Столбец2]]-Таблица22462791012131457454[[#This Row],[Столбец3]]</f>
        <v>0</v>
      </c>
      <c r="F64" s="134">
        <f>Таблица22462791012131457454[[#This Row],[Столбец2]]*100/Таблица22462791012131457454[[#This Row],[Столбец3]]-100</f>
        <v>0</v>
      </c>
      <c r="G64" s="134">
        <f t="shared" si="0"/>
        <v>0.80520705477786647</v>
      </c>
      <c r="H64" s="188">
        <f t="shared" si="1"/>
        <v>0.70205779434746263</v>
      </c>
      <c r="I64" s="205">
        <f>Таблица22462791012131457454[[#This Row],[Столбец3]]*12.7%</f>
        <v>147.20002246499999</v>
      </c>
      <c r="J64" s="205"/>
      <c r="K64" s="225">
        <f>5498.2-Таблица22462791012131457454[[#This Row],[Столбец4]]</f>
        <v>4339.1447049999997</v>
      </c>
      <c r="L64" s="225"/>
    </row>
    <row r="65" spans="1:15" s="133" customFormat="1" ht="21" x14ac:dyDescent="0.2">
      <c r="A65" s="151" t="s">
        <v>47</v>
      </c>
      <c r="B65" s="86">
        <f>SUM(B66,B71,B72)</f>
        <v>3488.9271859999999</v>
      </c>
      <c r="C65" s="86">
        <f>SUM(C66,C71,C72)</f>
        <v>4038.4041130000001</v>
      </c>
      <c r="D65" s="240">
        <f>SUM(D66,D71,D72)</f>
        <v>4135.0081129999999</v>
      </c>
      <c r="E65" s="86">
        <f>Таблица22462791012131457454[[#This Row],[Столбец2]]-Таблица22462791012131457454[[#This Row],[Столбец3]]</f>
        <v>646.08092699999997</v>
      </c>
      <c r="F65" s="86">
        <f>Таблица22462791012131457454[[#This Row],[Столбец2]]*100/Таблица22462791012131457454[[#This Row],[Столбец3]]-100</f>
        <v>18.518039860290742</v>
      </c>
      <c r="G65" s="86">
        <f t="shared" si="0"/>
        <v>2.4237918552224809</v>
      </c>
      <c r="H65" s="87">
        <f t="shared" si="1"/>
        <v>2.5046386379880552</v>
      </c>
      <c r="I65" s="205">
        <f>Таблица22462791012131457454[[#This Row],[Столбец3]]*12.7%</f>
        <v>443.09375262200001</v>
      </c>
      <c r="J65" s="205"/>
      <c r="K65" s="225">
        <f>5498.2-Таблица22462791012131457454[[#This Row],[Столбец4]]</f>
        <v>1459.7958869999998</v>
      </c>
      <c r="L65" s="225"/>
    </row>
    <row r="66" spans="1:15" s="133" customFormat="1" ht="21" x14ac:dyDescent="0.2">
      <c r="A66" s="153" t="s">
        <v>27</v>
      </c>
      <c r="B66" s="134">
        <f>SUM(B67:B70)</f>
        <v>2773.984019</v>
      </c>
      <c r="C66" s="91">
        <f>SUM(C67:C70)</f>
        <v>3458.3</v>
      </c>
      <c r="D66" s="245">
        <f>SUM(D67:D70)</f>
        <v>3519.1490000000003</v>
      </c>
      <c r="E66" s="91">
        <f>Таблица22462791012131457454[[#This Row],[Столбец2]]-Таблица22462791012131457454[[#This Row],[Столбец3]]</f>
        <v>745.16498100000035</v>
      </c>
      <c r="F66" s="134">
        <f>Таблица22462791012131457454[[#This Row],[Столбец2]]*100/Таблица22462791012131457454[[#This Row],[Столбец3]]-100</f>
        <v>26.862627033757263</v>
      </c>
      <c r="G66" s="134">
        <f t="shared" si="0"/>
        <v>1.927113841397756</v>
      </c>
      <c r="H66" s="188">
        <f t="shared" si="1"/>
        <v>2.1316032078694565</v>
      </c>
      <c r="I66" s="205">
        <f>Таблица22462791012131457454[[#This Row],[Столбец3]]*12.7%</f>
        <v>352.29597041300002</v>
      </c>
      <c r="J66" s="205"/>
      <c r="K66" s="225">
        <f>5498.2-Таблица22462791012131457454[[#This Row],[Столбец4]]</f>
        <v>2039.8999999999996</v>
      </c>
      <c r="L66" s="225"/>
    </row>
    <row r="67" spans="1:15" s="133" customFormat="1" ht="21" x14ac:dyDescent="0.2">
      <c r="A67" s="149" t="s">
        <v>33</v>
      </c>
      <c r="B67" s="134">
        <v>1910.3815689999999</v>
      </c>
      <c r="C67" s="91">
        <v>2572.8000000000002</v>
      </c>
      <c r="D67" s="245">
        <v>2572.8000000000002</v>
      </c>
      <c r="E67" s="91">
        <f>Таблица22462791012131457454[[#This Row],[Столбец2]]-Таблица22462791012131457454[[#This Row],[Столбец3]]</f>
        <v>662.41843100000028</v>
      </c>
      <c r="F67" s="134">
        <f>Таблица22462791012131457454[[#This Row],[Столбец2]]*100/Таблица22462791012131457454[[#This Row],[Столбец3]]-100</f>
        <v>34.67466613733859</v>
      </c>
      <c r="G67" s="134">
        <f t="shared" si="0"/>
        <v>1.3271607690437319</v>
      </c>
      <c r="H67" s="188">
        <f t="shared" si="1"/>
        <v>1.5583849201061215</v>
      </c>
      <c r="I67" s="205">
        <f>Таблица22462791012131457454[[#This Row],[Столбец3]]*12.7%</f>
        <v>242.61845926299998</v>
      </c>
      <c r="J67" s="205"/>
      <c r="K67" s="225">
        <f>5498.2-Таблица22462791012131457454[[#This Row],[Столбец4]]</f>
        <v>2925.3999999999996</v>
      </c>
      <c r="L67" s="225"/>
      <c r="O67" s="210"/>
    </row>
    <row r="68" spans="1:15" s="133" customFormat="1" ht="21" x14ac:dyDescent="0.2">
      <c r="A68" s="149" t="s">
        <v>34</v>
      </c>
      <c r="B68" s="154">
        <v>93.156999999999996</v>
      </c>
      <c r="C68" s="99">
        <v>78.3</v>
      </c>
      <c r="D68" s="246">
        <v>103.949</v>
      </c>
      <c r="E68" s="99">
        <f>Таблица22462791012131457454[[#This Row],[Столбец2]]-Таблица22462791012131457454[[#This Row],[Столбец3]]</f>
        <v>10.792000000000002</v>
      </c>
      <c r="F68" s="154">
        <f>Таблица22462791012131457454[[#This Row],[Столбец2]]*100/Таблица22462791012131457454[[#This Row],[Столбец3]]-100</f>
        <v>11.58474403426473</v>
      </c>
      <c r="G68" s="154">
        <f t="shared" si="0"/>
        <v>6.4717079440063913E-2</v>
      </c>
      <c r="H68" s="190">
        <f t="shared" si="1"/>
        <v>6.2963523810677546E-2</v>
      </c>
      <c r="I68" s="205">
        <f>Таблица22462791012131457454[[#This Row],[Столбец3]]*12.7%</f>
        <v>11.830938999999999</v>
      </c>
      <c r="J68" s="205"/>
      <c r="K68" s="225">
        <f>5498.2-Таблица22462791012131457454[[#This Row],[Столбец4]]</f>
        <v>5419.9</v>
      </c>
      <c r="L68" s="225"/>
    </row>
    <row r="69" spans="1:15" s="133" customFormat="1" ht="21" outlineLevel="1" x14ac:dyDescent="0.2">
      <c r="A69" s="149" t="s">
        <v>35</v>
      </c>
      <c r="B69" s="132">
        <v>701.47239200000001</v>
      </c>
      <c r="C69" s="96">
        <v>733.406432</v>
      </c>
      <c r="D69" s="243">
        <v>768.48045200000001</v>
      </c>
      <c r="E69" s="96">
        <f>Таблица22462791012131457454[[#This Row],[Столбец2]]-Таблица22462791012131457454[[#This Row],[Столбец3]]</f>
        <v>67.00806</v>
      </c>
      <c r="F69" s="132">
        <f>Таблица22462791012131457454[[#This Row],[Столбец2]]*100/Таблица22462791012131457454[[#This Row],[Столбец3]]-100</f>
        <v>9.5524871348037408</v>
      </c>
      <c r="G69" s="132">
        <f t="shared" si="0"/>
        <v>0.4873197346208622</v>
      </c>
      <c r="H69" s="189">
        <f t="shared" si="1"/>
        <v>0.46548054562855101</v>
      </c>
      <c r="I69" s="205">
        <f>Таблица22462791012131457454[[#This Row],[Столбец3]]*12.7%</f>
        <v>89.086993784000001</v>
      </c>
      <c r="J69" s="205"/>
      <c r="K69" s="225">
        <f>5498.2-Таблица22462791012131457454[[#This Row],[Столбец4]]</f>
        <v>4764.7935680000001</v>
      </c>
      <c r="L69" s="225"/>
    </row>
    <row r="70" spans="1:15" s="133" customFormat="1" ht="21" outlineLevel="1" x14ac:dyDescent="0.2">
      <c r="A70" s="229" t="s">
        <v>102</v>
      </c>
      <c r="B70" s="199">
        <v>68.973057999999995</v>
      </c>
      <c r="C70" s="243">
        <v>73.793567999999993</v>
      </c>
      <c r="D70" s="243">
        <v>73.919547999999992</v>
      </c>
      <c r="E70" s="96">
        <f>Таблица22462791012131457454[[#This Row],[Столбец2]]-Таблица22462791012131457454[[#This Row],[Столбец3]]</f>
        <v>4.9464899999999972</v>
      </c>
      <c r="F70" s="132">
        <f>Таблица22462791012131457454[[#This Row],[Столбец2]]*100/Таблица22462791012131457454[[#This Row],[Столбец3]]-100</f>
        <v>7.1716263472035706</v>
      </c>
      <c r="G70" s="132">
        <f>B70/$B$7*100</f>
        <v>4.7916258293098056E-2</v>
      </c>
      <c r="H70" s="189">
        <f>D70/$D$7*100</f>
        <v>4.477421832410626E-2</v>
      </c>
      <c r="I70" s="228">
        <f>Таблица22462791012131457454[[#This Row],[Столбец3]]*12.7%</f>
        <v>8.7595783659999995</v>
      </c>
      <c r="J70" s="225"/>
      <c r="K70" s="228">
        <f>5498.2-Таблица22462791012131457454[[#This Row],[Столбец4]]</f>
        <v>5424.4064319999998</v>
      </c>
      <c r="L70" s="226">
        <f>C73-5742</f>
        <v>9</v>
      </c>
    </row>
    <row r="71" spans="1:15" s="133" customFormat="1" ht="21" x14ac:dyDescent="0.2">
      <c r="A71" s="153" t="s">
        <v>28</v>
      </c>
      <c r="B71" s="134">
        <v>368.03905400000002</v>
      </c>
      <c r="C71" s="91">
        <v>233.2</v>
      </c>
      <c r="D71" s="245">
        <v>268.95499999999998</v>
      </c>
      <c r="E71" s="91">
        <f>Таблица22462791012131457454[[#This Row],[Столбец2]]-Таблица22462791012131457454[[#This Row],[Столбец3]]</f>
        <v>-99.084054000000037</v>
      </c>
      <c r="F71" s="134">
        <f>Таблица22462791012131457454[[#This Row],[Столбец2]]*100/Таблица22462791012131457454[[#This Row],[Столбец3]]-100</f>
        <v>-26.922157559941994</v>
      </c>
      <c r="G71" s="134">
        <f t="shared" si="0"/>
        <v>0.25568033207127727</v>
      </c>
      <c r="H71" s="188">
        <f t="shared" si="1"/>
        <v>0.16291022084388285</v>
      </c>
      <c r="I71" s="205">
        <f>Таблица22462791012131457454[[#This Row],[Столбец3]]*12.7%</f>
        <v>46.740959858000004</v>
      </c>
      <c r="J71" s="205"/>
      <c r="K71" s="225">
        <f>5498.2-Таблица22462791012131457454[[#This Row],[Столбец4]]</f>
        <v>5265</v>
      </c>
      <c r="L71" s="225"/>
    </row>
    <row r="72" spans="1:15" s="133" customFormat="1" ht="21" x14ac:dyDescent="0.2">
      <c r="A72" s="153" t="s">
        <v>29</v>
      </c>
      <c r="B72" s="134">
        <v>346.904113</v>
      </c>
      <c r="C72" s="134">
        <v>346.904113</v>
      </c>
      <c r="D72" s="134">
        <v>346.904113</v>
      </c>
      <c r="E72" s="91">
        <f>Таблица22462791012131457454[[#This Row],[Столбец2]]-Таблица22462791012131457454[[#This Row],[Столбец3]]</f>
        <v>0</v>
      </c>
      <c r="F72" s="134">
        <f>Таблица22462791012131457454[[#This Row],[Столбец2]]*100/Таблица22462791012131457454[[#This Row],[Столбец3]]-100</f>
        <v>0</v>
      </c>
      <c r="G72" s="134">
        <f t="shared" si="0"/>
        <v>0.24099768175344749</v>
      </c>
      <c r="H72" s="188">
        <f t="shared" si="1"/>
        <v>0.2101252092747162</v>
      </c>
      <c r="I72" s="207">
        <f>Таблица22462791012131457454[[#This Row],[Столбец3]]*12.7%</f>
        <v>44.056822351000001</v>
      </c>
      <c r="J72" s="205"/>
      <c r="K72" s="225">
        <f>5498.2-Таблица22462791012131457454[[#This Row],[Столбец4]]</f>
        <v>5151.2958870000002</v>
      </c>
      <c r="L72" s="225"/>
    </row>
    <row r="73" spans="1:15" s="133" customFormat="1" ht="21" x14ac:dyDescent="0.2">
      <c r="A73" s="151" t="s">
        <v>3</v>
      </c>
      <c r="B73" s="86">
        <f>SUM(B74,B79,B80)</f>
        <v>5533.583568</v>
      </c>
      <c r="C73" s="86">
        <f>SUM(C74,C79,C80)</f>
        <v>5751</v>
      </c>
      <c r="D73" s="240">
        <f>SUM(D74,D79,D80)</f>
        <v>6865.5</v>
      </c>
      <c r="E73" s="86">
        <f>Таблица22462791012131457454[[#This Row],[Столбец2]]-Таблица22462791012131457454[[#This Row],[Столбец3]]</f>
        <v>1331.916432</v>
      </c>
      <c r="F73" s="86">
        <f>Таблица22462791012131457454[[#This Row],[Столбец2]]*100/Таблица22462791012131457454[[#This Row],[Столбец3]]-100</f>
        <v>24.069690384768037</v>
      </c>
      <c r="G73" s="86">
        <f t="shared" si="0"/>
        <v>3.8442346507346556</v>
      </c>
      <c r="H73" s="87">
        <f t="shared" si="1"/>
        <v>4.1585399832822514</v>
      </c>
      <c r="I73" s="205">
        <f>Таблица22462791012131457454[[#This Row],[Столбец3]]*12.7%</f>
        <v>702.76511313599997</v>
      </c>
      <c r="J73" s="205"/>
      <c r="K73" s="225">
        <f>5498.2-Таблица22462791012131457454[[#This Row],[Столбец4]]</f>
        <v>-252.80000000000018</v>
      </c>
      <c r="L73" s="225"/>
    </row>
    <row r="74" spans="1:15" s="133" customFormat="1" ht="21" x14ac:dyDescent="0.2">
      <c r="A74" s="153" t="s">
        <v>27</v>
      </c>
      <c r="B74" s="154">
        <f>B75+B76+B77+B78</f>
        <v>5355.0372319999997</v>
      </c>
      <c r="C74" s="99">
        <f>C75+C76+C77+C78</f>
        <v>5518.8</v>
      </c>
      <c r="D74" s="246">
        <f>D75+D76+D77+D78</f>
        <v>6622.7</v>
      </c>
      <c r="E74" s="99">
        <f>Таблица22462791012131457454[[#This Row],[Столбец2]]-Таблица22462791012131457454[[#This Row],[Столбец3]]</f>
        <v>1267.6627680000001</v>
      </c>
      <c r="F74" s="154">
        <f>Таблица22462791012131457454[[#This Row],[Столбец2]]*100/Таблица22462791012131457454[[#This Row],[Столбец3]]-100</f>
        <v>23.672342750949525</v>
      </c>
      <c r="G74" s="154">
        <f t="shared" si="0"/>
        <v>3.7201967640418214</v>
      </c>
      <c r="H74" s="190">
        <f t="shared" si="1"/>
        <v>4.0114722521714903</v>
      </c>
      <c r="I74" s="205">
        <f>Таблица22462791012131457454[[#This Row],[Столбец3]]*12.7%</f>
        <v>680.08972846400002</v>
      </c>
      <c r="J74" s="205"/>
      <c r="K74" s="225">
        <f>5498.2-Таблица22462791012131457454[[#This Row],[Столбец4]]</f>
        <v>-20.600000000000364</v>
      </c>
      <c r="L74" s="225"/>
    </row>
    <row r="75" spans="1:15" s="133" customFormat="1" ht="21" x14ac:dyDescent="0.2">
      <c r="A75" s="149" t="s">
        <v>33</v>
      </c>
      <c r="B75" s="134">
        <v>100.686148</v>
      </c>
      <c r="C75" s="91">
        <v>141.1</v>
      </c>
      <c r="D75" s="245">
        <v>141.1</v>
      </c>
      <c r="E75" s="91">
        <f>Таблица22462791012131457454[[#This Row],[Столбец2]]-Таблица22462791012131457454[[#This Row],[Столбец3]]</f>
        <v>40.413851999999991</v>
      </c>
      <c r="F75" s="134">
        <f>Таблица22462791012131457454[[#This Row],[Столбец2]]*100/Таблица22462791012131457454[[#This Row],[Столбец3]]-100</f>
        <v>40.138442876968526</v>
      </c>
      <c r="G75" s="134">
        <f t="shared" si="0"/>
        <v>6.9947652228281643E-2</v>
      </c>
      <c r="H75" s="188">
        <f t="shared" si="1"/>
        <v>8.5466461531006579E-2</v>
      </c>
      <c r="I75" s="205">
        <f>Таблица22462791012131457454[[#This Row],[Столбец3]]*12.7%</f>
        <v>12.787140796000001</v>
      </c>
      <c r="J75" s="205"/>
      <c r="K75" s="225">
        <f>5498.2-Таблица22462791012131457454[[#This Row],[Столбец4]]</f>
        <v>5357.0999999999995</v>
      </c>
      <c r="L75" s="225"/>
    </row>
    <row r="76" spans="1:15" s="133" customFormat="1" ht="21" x14ac:dyDescent="0.2">
      <c r="A76" s="149" t="s">
        <v>34</v>
      </c>
      <c r="B76" s="154">
        <v>22.5</v>
      </c>
      <c r="C76" s="99">
        <v>22.4</v>
      </c>
      <c r="D76" s="246">
        <v>25.9</v>
      </c>
      <c r="E76" s="99">
        <f>Таблица22462791012131457454[[#This Row],[Столбец2]]-Таблица22462791012131457454[[#This Row],[Столбец3]]</f>
        <v>3.3999999999999986</v>
      </c>
      <c r="F76" s="154">
        <f>Таблица22462791012131457454[[#This Row],[Столбец2]]*100/Таблица22462791012131457454[[#This Row],[Столбец3]]-100</f>
        <v>15.111111111111114</v>
      </c>
      <c r="G76" s="154">
        <f t="shared" si="0"/>
        <v>1.5630970162214736E-2</v>
      </c>
      <c r="H76" s="190">
        <f t="shared" si="1"/>
        <v>1.5688032272523533E-2</v>
      </c>
      <c r="I76" s="205">
        <f>Таблица22462791012131457454[[#This Row],[Столбец3]]*12.7%</f>
        <v>2.8574999999999999</v>
      </c>
      <c r="J76" s="205"/>
      <c r="K76" s="225">
        <f>5498.2-Таблица22462791012131457454[[#This Row],[Столбец4]]</f>
        <v>5475.8</v>
      </c>
      <c r="L76" s="225"/>
    </row>
    <row r="77" spans="1:15" s="133" customFormat="1" ht="21" outlineLevel="1" x14ac:dyDescent="0.2">
      <c r="A77" s="149" t="s">
        <v>95</v>
      </c>
      <c r="B77" s="155">
        <v>5224.8510839999999</v>
      </c>
      <c r="C77" s="93">
        <v>5348.2</v>
      </c>
      <c r="D77" s="244">
        <v>6448.2</v>
      </c>
      <c r="E77" s="93">
        <f>Таблица22462791012131457454[[#This Row],[Столбец2]]-Таблица22462791012131457454[[#This Row],[Столбец3]]</f>
        <v>1223.3489159999999</v>
      </c>
      <c r="F77" s="155">
        <f>Таблица22462791012131457454[[#This Row],[Столбец2]]*100/Таблица22462791012131457454[[#This Row],[Столбец3]]-100</f>
        <v>23.414043698704589</v>
      </c>
      <c r="G77" s="155">
        <f t="shared" si="0"/>
        <v>3.6297551731564139</v>
      </c>
      <c r="H77" s="191">
        <f t="shared" si="1"/>
        <v>3.9057748918797777</v>
      </c>
      <c r="I77" s="205">
        <f>Таблица22462791012131457454[[#This Row],[Столбец3]]*12.7%</f>
        <v>663.55608766800003</v>
      </c>
      <c r="J77" s="205"/>
      <c r="K77" s="225">
        <f>5498.2-Таблица22462791012131457454[[#This Row],[Столбец4]]</f>
        <v>150</v>
      </c>
      <c r="L77" s="225"/>
    </row>
    <row r="78" spans="1:15" s="133" customFormat="1" ht="21" outlineLevel="1" x14ac:dyDescent="0.2">
      <c r="A78" s="229" t="s">
        <v>102</v>
      </c>
      <c r="B78" s="231">
        <v>7</v>
      </c>
      <c r="C78" s="244">
        <v>7.1</v>
      </c>
      <c r="D78" s="244">
        <v>7.5</v>
      </c>
      <c r="E78" s="93">
        <f>Таблица22462791012131457454[[#This Row],[Столбец2]]-Таблица22462791012131457454[[#This Row],[Столбец3]]</f>
        <v>0.5</v>
      </c>
      <c r="F78" s="155">
        <f>Таблица22462791012131457454[[#This Row],[Столбец2]]*100/Таблица22462791012131457454[[#This Row],[Столбец3]]-100</f>
        <v>7.1428571428571388</v>
      </c>
      <c r="G78" s="155">
        <f>B78/$B$7*100</f>
        <v>4.8629684949112505E-3</v>
      </c>
      <c r="H78" s="191">
        <f>D78/$D$7*100</f>
        <v>4.5428664881824905E-3</v>
      </c>
      <c r="I78" s="228">
        <f>Таблица22462791012131457454[[#This Row],[Столбец3]]*12.7%</f>
        <v>0.88900000000000001</v>
      </c>
      <c r="J78" s="225"/>
      <c r="K78" s="228">
        <f>5498.2-Таблица22462791012131457454[[#This Row],[Столбец4]]</f>
        <v>5491.0999999999995</v>
      </c>
      <c r="L78" s="225"/>
    </row>
    <row r="79" spans="1:15" s="136" customFormat="1" ht="21" x14ac:dyDescent="0.2">
      <c r="A79" s="153" t="s">
        <v>28</v>
      </c>
      <c r="B79" s="134">
        <v>0</v>
      </c>
      <c r="C79" s="91">
        <v>53.7</v>
      </c>
      <c r="D79" s="245">
        <v>53.7</v>
      </c>
      <c r="E79" s="91">
        <f>Таблица22462791012131457454[[#This Row],[Столбец2]]-Таблица22462791012131457454[[#This Row],[Столбец3]]</f>
        <v>53.7</v>
      </c>
      <c r="F79" s="134"/>
      <c r="G79" s="134">
        <f t="shared" si="0"/>
        <v>0</v>
      </c>
      <c r="H79" s="188">
        <f t="shared" si="1"/>
        <v>3.2526924055386632E-2</v>
      </c>
      <c r="I79" s="205">
        <f>Таблица22462791012131457454[[#This Row],[Столбец3]]*12.7%</f>
        <v>0</v>
      </c>
      <c r="J79" s="205"/>
      <c r="K79" s="225">
        <f>5498.2-Таблица22462791012131457454[[#This Row],[Столбец4]]</f>
        <v>5444.5</v>
      </c>
      <c r="L79" s="225"/>
    </row>
    <row r="80" spans="1:15" s="133" customFormat="1" ht="21" x14ac:dyDescent="0.2">
      <c r="A80" s="153" t="s">
        <v>29</v>
      </c>
      <c r="B80" s="134">
        <v>178.546336</v>
      </c>
      <c r="C80" s="91">
        <v>178.5</v>
      </c>
      <c r="D80" s="245">
        <v>189.1</v>
      </c>
      <c r="E80" s="91">
        <f>Таблица22462791012131457454[[#This Row],[Столбец2]]-Таблица22462791012131457454[[#This Row],[Столбец3]]</f>
        <v>10.553663999999998</v>
      </c>
      <c r="F80" s="134">
        <f>Таблица22462791012131457454[[#This Row],[Столбец2]]*100/Таблица22462791012131457454[[#This Row],[Столбец3]]-100</f>
        <v>5.9108824277413419</v>
      </c>
      <c r="G80" s="134">
        <f t="shared" si="0"/>
        <v>0.12403788669283407</v>
      </c>
      <c r="H80" s="188">
        <f t="shared" si="1"/>
        <v>0.11454080705537451</v>
      </c>
      <c r="I80" s="205">
        <f>Таблица22462791012131457454[[#This Row],[Столбец3]]*12.7%</f>
        <v>22.675384672</v>
      </c>
      <c r="J80" s="205"/>
      <c r="K80" s="225">
        <f>5498.2-Таблица22462791012131457454[[#This Row],[Столбец4]]</f>
        <v>5319.7</v>
      </c>
      <c r="L80" s="225"/>
    </row>
    <row r="81" spans="1:12" s="133" customFormat="1" ht="21" x14ac:dyDescent="0.2">
      <c r="A81" s="151" t="s">
        <v>10</v>
      </c>
      <c r="B81" s="135">
        <f>SUM(B82,B87,B88)</f>
        <v>1716.7300949999999</v>
      </c>
      <c r="C81" s="86">
        <f>SUM(C82,C87,C88)</f>
        <v>1548.0409659999998</v>
      </c>
      <c r="D81" s="240">
        <f>SUM(D82,D87,D88)</f>
        <v>1755.2750150000002</v>
      </c>
      <c r="E81" s="86">
        <f>Таблица22462791012131457454[[#This Row],[Столбец2]]-Таблица22462791012131457454[[#This Row],[Столбец3]]</f>
        <v>38.544920000000275</v>
      </c>
      <c r="F81" s="135">
        <f>Таблица22462791012131457454[[#This Row],[Столбец2]]*100/Таблица22462791012131457454[[#This Row],[Столбец3]]-100</f>
        <v>2.245252186832559</v>
      </c>
      <c r="G81" s="135">
        <f t="shared" si="0"/>
        <v>1.192629195178714</v>
      </c>
      <c r="H81" s="186">
        <f t="shared" si="1"/>
        <v>1.0631973390916691</v>
      </c>
      <c r="I81" s="205">
        <f>Таблица22462791012131457454[[#This Row],[Столбец3]]*12.7%</f>
        <v>218.02472206499999</v>
      </c>
      <c r="J81" s="205"/>
      <c r="K81" s="225">
        <f>5498.2-Таблица22462791012131457454[[#This Row],[Столбец4]]</f>
        <v>3950.1590340000002</v>
      </c>
      <c r="L81" s="225"/>
    </row>
    <row r="82" spans="1:12" s="133" customFormat="1" ht="21" x14ac:dyDescent="0.2">
      <c r="A82" s="153" t="s">
        <v>27</v>
      </c>
      <c r="B82" s="154">
        <f>B83+B84+B85+B86</f>
        <v>1300.370281</v>
      </c>
      <c r="C82" s="99">
        <f>C83+C84+C85+C86</f>
        <v>1396.608426</v>
      </c>
      <c r="D82" s="246">
        <f>D83+D84+D85+D86</f>
        <v>1597.880975</v>
      </c>
      <c r="E82" s="99">
        <f>Таблица22462791012131457454[[#This Row],[Столбец2]]-Таблица22462791012131457454[[#This Row],[Столбец3]]</f>
        <v>297.51069400000006</v>
      </c>
      <c r="F82" s="154">
        <f>Таблица22462791012131457454[[#This Row],[Столбец2]]*100/Таблица22462791012131457454[[#This Row],[Столбец3]]-100</f>
        <v>22.878921361630233</v>
      </c>
      <c r="G82" s="154">
        <f t="shared" si="0"/>
        <v>0.90337995831741291</v>
      </c>
      <c r="H82" s="190">
        <f t="shared" si="1"/>
        <v>0.96786132445758166</v>
      </c>
      <c r="I82" s="205">
        <f>Таблица22462791012131457454[[#This Row],[Столбец3]]*12.7%</f>
        <v>165.147025687</v>
      </c>
      <c r="J82" s="205"/>
      <c r="K82" s="225">
        <f>5498.2-Таблица22462791012131457454[[#This Row],[Столбец4]]</f>
        <v>4101.591574</v>
      </c>
      <c r="L82" s="225"/>
    </row>
    <row r="83" spans="1:12" s="133" customFormat="1" ht="21" x14ac:dyDescent="0.2">
      <c r="A83" s="149" t="s">
        <v>33</v>
      </c>
      <c r="B83" s="134">
        <v>254.417494</v>
      </c>
      <c r="C83" s="248">
        <v>358.19085200000001</v>
      </c>
      <c r="D83" s="245">
        <v>358.05729200000002</v>
      </c>
      <c r="E83" s="91">
        <f>Таблица22462791012131457454[[#This Row],[Столбец2]]-Таблица22462791012131457454[[#This Row],[Столбец3]]</f>
        <v>103.63979800000001</v>
      </c>
      <c r="F83" s="134">
        <f>Таблица22462791012131457454[[#This Row],[Столбец2]]*100/Таблица22462791012131457454[[#This Row],[Столбец3]]-100</f>
        <v>40.736113059898315</v>
      </c>
      <c r="G83" s="134">
        <f t="shared" ref="G83:G150" si="5">B83/$B$7*100</f>
        <v>0.17674632255375317</v>
      </c>
      <c r="H83" s="188">
        <f t="shared" ref="H83:H150" si="6">D83/$D$7*100</f>
        <v>0.21688086302348969</v>
      </c>
      <c r="I83" s="207">
        <f>Таблица22462791012131457454[[#This Row],[Столбец3]]*12.7%</f>
        <v>32.311021738000001</v>
      </c>
      <c r="J83" s="205"/>
      <c r="K83" s="225">
        <f>5498.2-Таблица22462791012131457454[[#This Row],[Столбец4]]</f>
        <v>5140.0091480000001</v>
      </c>
      <c r="L83" s="225"/>
    </row>
    <row r="84" spans="1:12" s="133" customFormat="1" ht="21" x14ac:dyDescent="0.2">
      <c r="A84" s="149" t="s">
        <v>34</v>
      </c>
      <c r="B84" s="154">
        <v>460.42399999999998</v>
      </c>
      <c r="C84" s="249">
        <v>450.05500000000001</v>
      </c>
      <c r="D84" s="246">
        <v>579.69730000000004</v>
      </c>
      <c r="E84" s="99">
        <f>Таблица22462791012131457454[[#This Row],[Столбец2]]-Таблица22462791012131457454[[#This Row],[Столбец3]]</f>
        <v>119.27330000000006</v>
      </c>
      <c r="F84" s="154">
        <f>Таблица22462791012131457454[[#This Row],[Столбец2]]*100/Таблица22462791012131457454[[#This Row],[Столбец3]]-100</f>
        <v>25.90510051604609</v>
      </c>
      <c r="G84" s="154">
        <f t="shared" si="5"/>
        <v>0.31986105804300252</v>
      </c>
      <c r="H84" s="190">
        <f t="shared" si="6"/>
        <v>0.35113165832798288</v>
      </c>
      <c r="I84" s="205">
        <f>Таблица22462791012131457454[[#This Row],[Столбец3]]*12.7%</f>
        <v>58.473847999999997</v>
      </c>
      <c r="J84" s="205"/>
      <c r="K84" s="225">
        <f>5498.2-Таблица22462791012131457454[[#This Row],[Столбец4]]</f>
        <v>5048.1449999999995</v>
      </c>
      <c r="L84" s="225"/>
    </row>
    <row r="85" spans="1:12" s="133" customFormat="1" ht="21" outlineLevel="1" x14ac:dyDescent="0.2">
      <c r="A85" s="149" t="s">
        <v>35</v>
      </c>
      <c r="B85" s="132">
        <v>567.24038399999995</v>
      </c>
      <c r="C85" s="96">
        <v>568.30203099999994</v>
      </c>
      <c r="D85" s="243">
        <v>638.23072200000001</v>
      </c>
      <c r="E85" s="96">
        <f>Таблица22462791012131457454[[#This Row],[Столбец2]]-Таблица22462791012131457454[[#This Row],[Столбец3]]</f>
        <v>70.990338000000065</v>
      </c>
      <c r="F85" s="132">
        <f>Таблица22462791012131457454[[#This Row],[Столбец2]]*100/Таблица22462791012131457454[[#This Row],[Столбец3]]-100</f>
        <v>12.515035953434534</v>
      </c>
      <c r="G85" s="132">
        <f>B84/$B$7*100</f>
        <v>0.31986105804300252</v>
      </c>
      <c r="H85" s="189">
        <f>D84/$D$7*100</f>
        <v>0.35113165832798288</v>
      </c>
      <c r="I85" s="205">
        <f>Таблица22462791012131457454[[#This Row],[Столбец3]]*12.7%</f>
        <v>72.039528767999997</v>
      </c>
      <c r="J85" s="205"/>
      <c r="K85" s="225">
        <f>5498.2-Таблица22462791012131457454[[#This Row],[Столбец4]]</f>
        <v>4929.8979689999996</v>
      </c>
      <c r="L85" s="225"/>
    </row>
    <row r="86" spans="1:12" s="133" customFormat="1" ht="21" outlineLevel="1" x14ac:dyDescent="0.2">
      <c r="A86" s="229" t="s">
        <v>102</v>
      </c>
      <c r="B86" s="132">
        <v>18.288402999999999</v>
      </c>
      <c r="C86" s="96">
        <v>20.060542999999999</v>
      </c>
      <c r="D86" s="243">
        <v>21.895661</v>
      </c>
      <c r="E86" s="96">
        <f>Таблица22462791012131457454[[#This Row],[Столбец2]]-Таблица22462791012131457454[[#This Row],[Столбец3]]</f>
        <v>3.6072580000000016</v>
      </c>
      <c r="F86" s="132">
        <f>Таблица22462791012131457454[[#This Row],[Столбец2]]*100/Таблица22462791012131457454[[#This Row],[Столбец3]]-100</f>
        <v>19.724291946103776</v>
      </c>
      <c r="G86" s="132">
        <f>B85/$B$7*100</f>
        <v>0.39406744520476572</v>
      </c>
      <c r="H86" s="189">
        <f>D85/$D$7*100</f>
        <v>0.38658626116030864</v>
      </c>
      <c r="I86" s="228">
        <f>Таблица22462791012131457454[[#This Row],[Столбец3]]*12.7%</f>
        <v>2.3226271810000001</v>
      </c>
      <c r="J86" s="225"/>
      <c r="K86" s="228">
        <f>5498.2-Таблица22462791012131457454[[#This Row],[Столбец4]]</f>
        <v>5478.1394570000002</v>
      </c>
      <c r="L86" s="225"/>
    </row>
    <row r="87" spans="1:12" s="133" customFormat="1" ht="21" x14ac:dyDescent="0.2">
      <c r="A87" s="153" t="s">
        <v>28</v>
      </c>
      <c r="B87" s="134">
        <v>380.12805400000002</v>
      </c>
      <c r="C87" s="91">
        <v>115.1861</v>
      </c>
      <c r="D87" s="245">
        <v>121.15075</v>
      </c>
      <c r="E87" s="91">
        <f>Таблица22462791012131457454[[#This Row],[Столбец2]]-Таблица22462791012131457454[[#This Row],[Столбец3]]</f>
        <v>-258.977304</v>
      </c>
      <c r="F87" s="134">
        <f>Таблица22462791012131457454[[#This Row],[Столбец2]]*100/Таблица22462791012131457454[[#This Row],[Столбец3]]-100</f>
        <v>-68.128963720209924</v>
      </c>
      <c r="G87" s="134">
        <f t="shared" si="5"/>
        <v>0.26407867866198897</v>
      </c>
      <c r="H87" s="188">
        <f t="shared" si="6"/>
        <v>7.338289095908998E-2</v>
      </c>
      <c r="I87" s="205">
        <f>Таблица22462791012131457454[[#This Row],[Столбец3]]*12.7%</f>
        <v>48.276262858000003</v>
      </c>
      <c r="J87" s="205"/>
      <c r="K87" s="225">
        <f>5498.2-Таблица22462791012131457454[[#This Row],[Столбец4]]</f>
        <v>5383.0138999999999</v>
      </c>
      <c r="L87" s="225"/>
    </row>
    <row r="88" spans="1:12" s="136" customFormat="1" ht="21" x14ac:dyDescent="0.2">
      <c r="A88" s="153" t="s">
        <v>29</v>
      </c>
      <c r="B88" s="134">
        <v>36.231760000000001</v>
      </c>
      <c r="C88" s="91">
        <v>36.24644</v>
      </c>
      <c r="D88" s="245">
        <v>36.243290000000002</v>
      </c>
      <c r="E88" s="91">
        <f>Таблица22462791012131457454[[#This Row],[Столбец2]]-Таблица22462791012131457454[[#This Row],[Столбец3]]</f>
        <v>1.1530000000000484E-2</v>
      </c>
      <c r="F88" s="134">
        <f>Таблица22462791012131457454[[#This Row],[Столбец2]]*100/Таблица22462791012131457454[[#This Row],[Столбец3]]-100</f>
        <v>3.1822908961643748E-2</v>
      </c>
      <c r="G88" s="134">
        <f t="shared" si="5"/>
        <v>2.5170558199312239E-2</v>
      </c>
      <c r="H88" s="188">
        <f t="shared" si="6"/>
        <v>2.1953123674997275E-2</v>
      </c>
      <c r="I88" s="205">
        <f>Таблица22462791012131457454[[#This Row],[Столбец3]]*12.7%</f>
        <v>4.6014335200000005</v>
      </c>
      <c r="J88" s="205"/>
      <c r="K88" s="225">
        <f>5498.2-Таблица22462791012131457454[[#This Row],[Столбец4]]</f>
        <v>5461.9535599999999</v>
      </c>
      <c r="L88" s="225"/>
    </row>
    <row r="89" spans="1:12" s="133" customFormat="1" ht="21" x14ac:dyDescent="0.2">
      <c r="A89" s="151" t="s">
        <v>13</v>
      </c>
      <c r="B89" s="135">
        <f>SUM(B90,B95,B96)</f>
        <v>15322.396808</v>
      </c>
      <c r="C89" s="86">
        <f>SUM(C90,C95,C96)</f>
        <v>13686.545595</v>
      </c>
      <c r="D89" s="240">
        <f>SUM(D90,D95,D96)</f>
        <v>15643.221530999999</v>
      </c>
      <c r="E89" s="86">
        <f>Таблица22462791012131457454[[#This Row],[Столбец2]]-Таблица22462791012131457454[[#This Row],[Столбец3]]</f>
        <v>320.82472299999972</v>
      </c>
      <c r="F89" s="135">
        <f>Таблица22462791012131457454[[#This Row],[Столбец2]]*100/Таблица22462791012131457454[[#This Row],[Столбец3]]-100</f>
        <v>2.093828576691692</v>
      </c>
      <c r="G89" s="135">
        <f t="shared" si="5"/>
        <v>10.644618991976101</v>
      </c>
      <c r="H89" s="186">
        <f t="shared" si="6"/>
        <v>9.475342248052625</v>
      </c>
      <c r="I89" s="205">
        <f>Таблица22462791012131457454[[#This Row],[Столбец3]]*12.7%</f>
        <v>1945.944394616</v>
      </c>
      <c r="J89" s="205"/>
      <c r="K89" s="225">
        <f>5498.2-Таблица22462791012131457454[[#This Row],[Столбец4]]</f>
        <v>-8188.3455949999998</v>
      </c>
      <c r="L89" s="225"/>
    </row>
    <row r="90" spans="1:12" s="133" customFormat="1" ht="21" x14ac:dyDescent="0.2">
      <c r="A90" s="153" t="s">
        <v>27</v>
      </c>
      <c r="B90" s="134">
        <f>B98+B106+B114+B122+B129+B137</f>
        <v>5413.7762520000006</v>
      </c>
      <c r="C90" s="91">
        <f t="shared" ref="B90:D91" si="7">C98+C106+C114+C122+C129+C137</f>
        <v>5681.9979700000004</v>
      </c>
      <c r="D90" s="245">
        <f t="shared" si="7"/>
        <v>6168.749116</v>
      </c>
      <c r="E90" s="91">
        <f>Таблица22462791012131457454[[#This Row],[Столбец2]]-Таблица22462791012131457454[[#This Row],[Столбец3]]</f>
        <v>754.97286399999939</v>
      </c>
      <c r="F90" s="134">
        <f>Таблица22462791012131457454[[#This Row],[Столбец2]]*100/Таблица22462791012131457454[[#This Row],[Столбец3]]-100</f>
        <v>13.945402042079067</v>
      </c>
      <c r="G90" s="134">
        <f t="shared" si="5"/>
        <v>3.7610033359963877</v>
      </c>
      <c r="H90" s="188">
        <f t="shared" si="6"/>
        <v>3.7365071510775678</v>
      </c>
      <c r="I90" s="205">
        <f>Таблица22462791012131457454[[#This Row],[Столбец3]]*12.7%</f>
        <v>687.54958400400005</v>
      </c>
      <c r="J90" s="205"/>
      <c r="K90" s="225">
        <f>5498.2-Таблица22462791012131457454[[#This Row],[Столбец4]]</f>
        <v>-183.79797000000053</v>
      </c>
      <c r="L90" s="225"/>
    </row>
    <row r="91" spans="1:12" s="133" customFormat="1" ht="21" x14ac:dyDescent="0.2">
      <c r="A91" s="149" t="s">
        <v>33</v>
      </c>
      <c r="B91" s="134">
        <f t="shared" si="7"/>
        <v>393.222084</v>
      </c>
      <c r="C91" s="91">
        <f t="shared" si="7"/>
        <v>552.5652520000001</v>
      </c>
      <c r="D91" s="245">
        <f t="shared" si="7"/>
        <v>557.52225200000009</v>
      </c>
      <c r="E91" s="91">
        <f>Таблица22462791012131457454[[#This Row],[Столбец2]]-Таблица22462791012131457454[[#This Row],[Столбец3]]</f>
        <v>164.3001680000001</v>
      </c>
      <c r="F91" s="134">
        <f>Таблица22462791012131457454[[#This Row],[Столбец2]]*100/Таблица22462791012131457454[[#This Row],[Столбец3]]-100</f>
        <v>41.783046956233534</v>
      </c>
      <c r="G91" s="134">
        <f t="shared" si="5"/>
        <v>0.27317522942790645</v>
      </c>
      <c r="H91" s="188">
        <f t="shared" si="6"/>
        <v>0.33769988733691114</v>
      </c>
      <c r="I91" s="205">
        <f>Таблица22462791012131457454[[#This Row],[Столбец3]]*12.7%</f>
        <v>49.939204668000002</v>
      </c>
      <c r="J91" s="205"/>
      <c r="K91" s="225">
        <f>5498.2-Таблица22462791012131457454[[#This Row],[Столбец4]]</f>
        <v>4945.6347479999995</v>
      </c>
      <c r="L91" s="225"/>
    </row>
    <row r="92" spans="1:12" s="133" customFormat="1" ht="21" x14ac:dyDescent="0.2">
      <c r="A92" s="149" t="s">
        <v>34</v>
      </c>
      <c r="B92" s="134">
        <f>B100+B108+B116+B124+B131</f>
        <v>3539.8009999999999</v>
      </c>
      <c r="C92" s="91">
        <f>C100+C108+C116+C124+C131</f>
        <v>3521.2820000000002</v>
      </c>
      <c r="D92" s="245">
        <f>D100+D108+D116+D124+D131</f>
        <v>3963.25</v>
      </c>
      <c r="E92" s="91">
        <f>Таблица22462791012131457454[[#This Row],[Столбец2]]-Таблица22462791012131457454[[#This Row],[Столбец3]]</f>
        <v>423.44900000000007</v>
      </c>
      <c r="F92" s="134">
        <f>Таблица22462791012131457454[[#This Row],[Столбец2]]*100/Таблица22462791012131457454[[#This Row],[Столбец3]]-100</f>
        <v>11.962508626897389</v>
      </c>
      <c r="G92" s="134">
        <f t="shared" si="5"/>
        <v>2.4591343916079058</v>
      </c>
      <c r="H92" s="188">
        <f t="shared" si="6"/>
        <v>2.4006020812385671</v>
      </c>
      <c r="I92" s="205">
        <f>Таблица22462791012131457454[[#This Row],[Столбец3]]*12.7%</f>
        <v>449.55472700000001</v>
      </c>
      <c r="J92" s="205"/>
      <c r="K92" s="225">
        <f>5498.2-Таблица22462791012131457454[[#This Row],[Столбец4]]</f>
        <v>1976.9179999999997</v>
      </c>
      <c r="L92" s="225"/>
    </row>
    <row r="93" spans="1:12" s="133" customFormat="1" ht="21" outlineLevel="1" x14ac:dyDescent="0.2">
      <c r="A93" s="149" t="s">
        <v>35</v>
      </c>
      <c r="B93" s="132">
        <f t="shared" ref="B93:D94" si="8">B101+B109+B117+B125+B132+B139</f>
        <v>1429.8050040000001</v>
      </c>
      <c r="C93" s="96">
        <f t="shared" si="8"/>
        <v>1548.3096710000002</v>
      </c>
      <c r="D93" s="243">
        <f t="shared" si="8"/>
        <v>1580.0876880000001</v>
      </c>
      <c r="E93" s="96">
        <f>Таблица22462791012131457454[[#This Row],[Столбец2]]-Таблица22462791012131457454[[#This Row],[Столбец3]]</f>
        <v>150.28268400000002</v>
      </c>
      <c r="F93" s="132">
        <f>Таблица22462791012131457454[[#This Row],[Столбец2]]*100/Таблица22462791012131457454[[#This Row],[Столбец3]]-100</f>
        <v>10.510711850886779</v>
      </c>
      <c r="G93" s="132">
        <f t="shared" si="5"/>
        <v>0.99329952690263656</v>
      </c>
      <c r="H93" s="189">
        <f t="shared" si="6"/>
        <v>0.9570836541606601</v>
      </c>
      <c r="I93" s="205">
        <f>Таблица22462791012131457454[[#This Row],[Столбец3]]*12.7%</f>
        <v>181.58523550800001</v>
      </c>
      <c r="J93" s="205"/>
      <c r="K93" s="225">
        <f>5498.2-Таблица22462791012131457454[[#This Row],[Столбец4]]</f>
        <v>3949.8903289999998</v>
      </c>
      <c r="L93" s="225"/>
    </row>
    <row r="94" spans="1:12" s="133" customFormat="1" ht="21" outlineLevel="1" x14ac:dyDescent="0.2">
      <c r="A94" s="229" t="s">
        <v>102</v>
      </c>
      <c r="B94" s="199">
        <f t="shared" si="8"/>
        <v>50.948163999999991</v>
      </c>
      <c r="C94" s="243">
        <f t="shared" si="8"/>
        <v>59.841047000000003</v>
      </c>
      <c r="D94" s="243">
        <f t="shared" si="8"/>
        <v>67.889176000000006</v>
      </c>
      <c r="E94" s="243">
        <f>Таблица22462791012131457454[[#This Row],[Столбец2]]-Таблица22462791012131457454[[#This Row],[Столбец3]]</f>
        <v>16.941012000000015</v>
      </c>
      <c r="F94" s="199">
        <f>Таблица22462791012131457454[[#This Row],[Столбец2]]*100/Таблица22462791012131457454[[#This Row],[Столбец3]]-100</f>
        <v>33.251467118618876</v>
      </c>
      <c r="G94" s="199">
        <f>B94/$B$7*100</f>
        <v>3.5394188057938793E-2</v>
      </c>
      <c r="H94" s="230">
        <f>D94/$D$7*100</f>
        <v>4.1121528341429736E-2</v>
      </c>
      <c r="I94" s="228">
        <f>Таблица22462791012131457454[[#This Row],[Столбец3]]*12.7%</f>
        <v>6.4704168279999994</v>
      </c>
      <c r="J94" s="225"/>
      <c r="K94" s="228">
        <f>5498.2-Таблица22462791012131457454[[#This Row],[Столбец4]]</f>
        <v>5438.3589529999999</v>
      </c>
      <c r="L94" s="225"/>
    </row>
    <row r="95" spans="1:12" s="133" customFormat="1" ht="21" x14ac:dyDescent="0.2">
      <c r="A95" s="153" t="s">
        <v>28</v>
      </c>
      <c r="B95" s="134">
        <f>B103+B111+B119+B134</f>
        <v>9758.2247160000006</v>
      </c>
      <c r="C95" s="91">
        <f>C103+C111+C119+C134</f>
        <v>7855.14</v>
      </c>
      <c r="D95" s="245">
        <f>D103+D111+D119+D134</f>
        <v>9316.48</v>
      </c>
      <c r="E95" s="91">
        <f>Таблица22462791012131457454[[#This Row],[Столбец2]]-Таблица22462791012131457454[[#This Row],[Столбец3]]</f>
        <v>-441.74471600000106</v>
      </c>
      <c r="F95" s="134">
        <f>Таблица22462791012131457454[[#This Row],[Столбец2]]*100/Таблица22462791012131457454[[#This Row],[Столбец3]]-100</f>
        <v>-4.5268963244482023</v>
      </c>
      <c r="G95" s="134">
        <f t="shared" si="5"/>
        <v>6.7791341943103269</v>
      </c>
      <c r="H95" s="188">
        <f t="shared" si="6"/>
        <v>5.6431366373096541</v>
      </c>
      <c r="I95" s="205">
        <f>Таблица22462791012131457454[[#This Row],[Столбец3]]*12.7%</f>
        <v>1239.294538932</v>
      </c>
      <c r="J95" s="205"/>
      <c r="K95" s="225">
        <f>5498.2-Таблица22462791012131457454[[#This Row],[Столбец4]]</f>
        <v>-2356.9400000000005</v>
      </c>
      <c r="L95" s="225"/>
    </row>
    <row r="96" spans="1:12" s="133" customFormat="1" ht="21" x14ac:dyDescent="0.2">
      <c r="A96" s="153" t="s">
        <v>29</v>
      </c>
      <c r="B96" s="134">
        <f>B104+B112+B120+B127+B135+B141</f>
        <v>150.39583999999999</v>
      </c>
      <c r="C96" s="91">
        <f>C104+C112+C120+C127+C135</f>
        <v>149.407625</v>
      </c>
      <c r="D96" s="245">
        <f>D104+D112+D120+D127+D135+D141</f>
        <v>157.99241499999999</v>
      </c>
      <c r="E96" s="91">
        <f>Таблица22462791012131457454[[#This Row],[Столбец2]]-Таблица22462791012131457454[[#This Row],[Столбец3]]</f>
        <v>7.5965750000000014</v>
      </c>
      <c r="F96" s="134">
        <f>Таблица22462791012131457454[[#This Row],[Столбец2]]*100/Таблица22462791012131457454[[#This Row],[Столбец3]]-100</f>
        <v>5.0510539387259712</v>
      </c>
      <c r="G96" s="134">
        <f t="shared" si="5"/>
        <v>0.10448146166938761</v>
      </c>
      <c r="H96" s="188">
        <f t="shared" si="6"/>
        <v>9.5698459665402733E-2</v>
      </c>
      <c r="I96" s="205">
        <f>Таблица22462791012131457454[[#This Row],[Столбец3]]*12.7%</f>
        <v>19.100271679999999</v>
      </c>
      <c r="J96" s="205"/>
      <c r="K96" s="225">
        <f>5498.2-Таблица22462791012131457454[[#This Row],[Столбец4]]</f>
        <v>5348.792375</v>
      </c>
      <c r="L96" s="225"/>
    </row>
    <row r="97" spans="1:12" s="133" customFormat="1" ht="42" x14ac:dyDescent="0.2">
      <c r="A97" s="151" t="s">
        <v>11</v>
      </c>
      <c r="B97" s="135">
        <f>SUM(B98,B103,B104)</f>
        <v>1796.0806439999999</v>
      </c>
      <c r="C97" s="86">
        <f>SUM(C98,C103,C104)</f>
        <v>1749.1670000000004</v>
      </c>
      <c r="D97" s="240">
        <f>SUM(D98,D103,D104)</f>
        <v>1773.3920000000003</v>
      </c>
      <c r="E97" s="86">
        <f>Таблица22462791012131457454[[#This Row],[Столбец2]]-Таблица22462791012131457454[[#This Row],[Столбец3]]</f>
        <v>-22.688643999999613</v>
      </c>
      <c r="F97" s="135">
        <f>Таблица22462791012131457454[[#This Row],[Столбец2]]*100/Таблица22462791012131457454[[#This Row],[Столбец3]]-100</f>
        <v>-1.2632308062443229</v>
      </c>
      <c r="G97" s="135">
        <f t="shared" si="5"/>
        <v>1.2477547980131298</v>
      </c>
      <c r="H97" s="186">
        <f t="shared" si="6"/>
        <v>1.0741710782947897</v>
      </c>
      <c r="I97" s="205">
        <f>Таблица22462791012131457454[[#This Row],[Столбец3]]*12.7%</f>
        <v>228.10224178799999</v>
      </c>
      <c r="J97" s="205"/>
      <c r="K97" s="225">
        <f>5498.2-Таблица22462791012131457454[[#This Row],[Столбец4]]</f>
        <v>3749.0329999999994</v>
      </c>
      <c r="L97" s="225"/>
    </row>
    <row r="98" spans="1:12" s="133" customFormat="1" ht="21" x14ac:dyDescent="0.2">
      <c r="A98" s="153" t="s">
        <v>27</v>
      </c>
      <c r="B98" s="154">
        <f>B99+B100+B101+B102</f>
        <v>1019.665937</v>
      </c>
      <c r="C98" s="99">
        <f>C99+C100+C101+C102</f>
        <v>1141.1360000000002</v>
      </c>
      <c r="D98" s="246">
        <f>D99+D100+D101+D102</f>
        <v>1157.5020000000002</v>
      </c>
      <c r="E98" s="99">
        <f>Таблица22462791012131457454[[#This Row],[Столбец2]]-Таблица22462791012131457454[[#This Row],[Столбец3]]</f>
        <v>137.83606300000019</v>
      </c>
      <c r="F98" s="154">
        <f>Таблица22462791012131457454[[#This Row],[Столбец2]]*100/Таблица22462791012131457454[[#This Row],[Столбец3]]-100</f>
        <v>13.517766750700048</v>
      </c>
      <c r="G98" s="154">
        <f t="shared" si="5"/>
        <v>0.70837190385216575</v>
      </c>
      <c r="H98" s="190">
        <f t="shared" si="6"/>
        <v>0.7011169394405613</v>
      </c>
      <c r="I98" s="205">
        <f>Таблица22462791012131457454[[#This Row],[Столбец3]]*12.7%</f>
        <v>129.497573999</v>
      </c>
      <c r="J98" s="205"/>
      <c r="K98" s="225">
        <f>5498.2-Таблица22462791012131457454[[#This Row],[Столбец4]]</f>
        <v>4357.0639999999994</v>
      </c>
      <c r="L98" s="225"/>
    </row>
    <row r="99" spans="1:12" s="133" customFormat="1" ht="21" x14ac:dyDescent="0.2">
      <c r="A99" s="149" t="s">
        <v>33</v>
      </c>
      <c r="B99" s="154">
        <v>195.23993300000001</v>
      </c>
      <c r="C99" s="99">
        <v>272.27199999999999</v>
      </c>
      <c r="D99" s="246">
        <v>277.22899999999998</v>
      </c>
      <c r="E99" s="99">
        <f>Таблица22462791012131457454[[#This Row],[Столбец2]]-Таблица22462791012131457454[[#This Row],[Столбец3]]</f>
        <v>81.989066999999977</v>
      </c>
      <c r="F99" s="154">
        <f>Таблица22462791012131457454[[#This Row],[Столбец2]]*100/Таблица22462791012131457454[[#This Row],[Столбец3]]-100</f>
        <v>41.99400488423646</v>
      </c>
      <c r="G99" s="154">
        <f t="shared" si="5"/>
        <v>0.13563509187536907</v>
      </c>
      <c r="H99" s="190">
        <f t="shared" si="6"/>
        <v>0.16792191115364577</v>
      </c>
      <c r="I99" s="205">
        <f>Таблица22462791012131457454[[#This Row],[Столбец3]]*12.7%</f>
        <v>24.795471491000001</v>
      </c>
      <c r="J99" s="205"/>
      <c r="K99" s="225">
        <f>5498.2-Таблица22462791012131457454[[#This Row],[Столбец4]]</f>
        <v>5225.9279999999999</v>
      </c>
      <c r="L99" s="225"/>
    </row>
    <row r="100" spans="1:12" s="133" customFormat="1" ht="21" x14ac:dyDescent="0.2">
      <c r="A100" s="149" t="s">
        <v>34</v>
      </c>
      <c r="B100" s="154">
        <v>178.32400000000001</v>
      </c>
      <c r="C100" s="99">
        <v>171.93299999999999</v>
      </c>
      <c r="D100" s="246">
        <v>181.81299999999999</v>
      </c>
      <c r="E100" s="99">
        <f>Таблица22462791012131457454[[#This Row],[Столбец2]]-Таблица22462791012131457454[[#This Row],[Столбец3]]</f>
        <v>3.4889999999999759</v>
      </c>
      <c r="F100" s="154">
        <f>Таблица22462791012131457454[[#This Row],[Столбец2]]*100/Таблица22462791012131457454[[#This Row],[Столбец3]]-100</f>
        <v>1.9565509970615125</v>
      </c>
      <c r="G100" s="154">
        <f t="shared" si="5"/>
        <v>0.12388342769807914</v>
      </c>
      <c r="H100" s="190">
        <f t="shared" si="6"/>
        <v>0.11012695797545641</v>
      </c>
      <c r="I100" s="205">
        <f>Таблица22462791012131457454[[#This Row],[Столбец3]]*12.7%</f>
        <v>22.647148000000001</v>
      </c>
      <c r="J100" s="205"/>
      <c r="K100" s="225">
        <f>5498.2-Таблица22462791012131457454[[#This Row],[Столбец4]]</f>
        <v>5326.2669999999998</v>
      </c>
      <c r="L100" s="225"/>
    </row>
    <row r="101" spans="1:12" s="133" customFormat="1" ht="21" outlineLevel="1" x14ac:dyDescent="0.2">
      <c r="A101" s="149" t="s">
        <v>35</v>
      </c>
      <c r="B101" s="132">
        <v>644.97673099999997</v>
      </c>
      <c r="C101" s="96">
        <v>695.68635400000005</v>
      </c>
      <c r="D101" s="243">
        <v>697.12176800000009</v>
      </c>
      <c r="E101" s="96">
        <f>Таблица22462791012131457454[[#This Row],[Столбец2]]-Таблица22462791012131457454[[#This Row],[Столбец3]]</f>
        <v>52.145037000000116</v>
      </c>
      <c r="F101" s="132">
        <f>Таблица22462791012131457454[[#This Row],[Столбец2]]*100/Таблица22462791012131457454[[#This Row],[Столбец3]]-100</f>
        <v>8.0847935272257416</v>
      </c>
      <c r="G101" s="132">
        <f t="shared" si="5"/>
        <v>0.44807164611483546</v>
      </c>
      <c r="H101" s="189">
        <f t="shared" si="6"/>
        <v>0.42225748240396382</v>
      </c>
      <c r="I101" s="205">
        <f>Таблица22462791012131457454[[#This Row],[Столбец3]]*12.7%</f>
        <v>81.912044836999996</v>
      </c>
      <c r="J101" s="205"/>
      <c r="K101" s="225">
        <f>5498.2-Таблица22462791012131457454[[#This Row],[Столбец4]]</f>
        <v>4802.5136459999994</v>
      </c>
      <c r="L101" s="225"/>
    </row>
    <row r="102" spans="1:12" s="133" customFormat="1" ht="21" outlineLevel="1" x14ac:dyDescent="0.2">
      <c r="A102" s="229" t="s">
        <v>102</v>
      </c>
      <c r="B102" s="199">
        <v>1.125273</v>
      </c>
      <c r="C102" s="243">
        <v>1.2446459999999999</v>
      </c>
      <c r="D102" s="243">
        <v>1.3382320000000001</v>
      </c>
      <c r="E102" s="96">
        <f>Таблица22462791012131457454[[#This Row],[Столбец2]]-Таблица22462791012131457454[[#This Row],[Столбец3]]</f>
        <v>0.21295900000000012</v>
      </c>
      <c r="F102" s="132">
        <f>Таблица22462791012131457454[[#This Row],[Столбец2]]*100/Таблица22462791012131457454[[#This Row],[Столбец3]]-100</f>
        <v>18.925096398829453</v>
      </c>
      <c r="G102" s="132">
        <f>B102/$B$7*100</f>
        <v>7.8173816388203829E-4</v>
      </c>
      <c r="H102" s="189">
        <f>D102/$D$7*100</f>
        <v>8.1058790749512406E-4</v>
      </c>
      <c r="I102" s="228">
        <f>Таблица22462791012131457454[[#This Row],[Столбец3]]*12.7%</f>
        <v>0.14290967099999999</v>
      </c>
      <c r="J102" s="225"/>
      <c r="K102" s="228">
        <f>5498.2-Таблица22462791012131457454[[#This Row],[Столбец4]]</f>
        <v>5496.9553539999997</v>
      </c>
      <c r="L102" s="225"/>
    </row>
    <row r="103" spans="1:12" s="133" customFormat="1" ht="21" x14ac:dyDescent="0.2">
      <c r="A103" s="153" t="s">
        <v>28</v>
      </c>
      <c r="B103" s="134">
        <v>706.173047</v>
      </c>
      <c r="C103" s="91">
        <f>503.176+40.022</f>
        <v>543.19799999999998</v>
      </c>
      <c r="D103" s="245">
        <f>509.14+40.022</f>
        <v>549.16200000000003</v>
      </c>
      <c r="E103" s="91">
        <f>Таблица22462791012131457454[[#This Row],[Столбец2]]-Таблица22462791012131457454[[#This Row],[Столбец3]]</f>
        <v>-157.01104699999996</v>
      </c>
      <c r="F103" s="134">
        <f>Таблица22462791012131457454[[#This Row],[Столбец2]]*100/Таблица22462791012131457454[[#This Row],[Столбец3]]-100</f>
        <v>-22.234075297410769</v>
      </c>
      <c r="G103" s="134">
        <f t="shared" si="5"/>
        <v>0.49058532564521173</v>
      </c>
      <c r="H103" s="188">
        <f t="shared" si="6"/>
        <v>0.33263595285110303</v>
      </c>
      <c r="I103" s="205">
        <f>Таблица22462791012131457454[[#This Row],[Столбец3]]*12.7%</f>
        <v>89.683976969</v>
      </c>
      <c r="J103" s="205"/>
      <c r="K103" s="225">
        <f>5498.2-Таблица22462791012131457454[[#This Row],[Столбец4]]</f>
        <v>4955.0019999999995</v>
      </c>
      <c r="L103" s="225"/>
    </row>
    <row r="104" spans="1:12" s="133" customFormat="1" ht="21" x14ac:dyDescent="0.2">
      <c r="A104" s="153" t="s">
        <v>29</v>
      </c>
      <c r="B104" s="134">
        <v>70.241659999999996</v>
      </c>
      <c r="C104" s="91">
        <v>64.832999999999998</v>
      </c>
      <c r="D104" s="245">
        <v>66.727999999999994</v>
      </c>
      <c r="E104" s="91">
        <f>Таблица22462791012131457454[[#This Row],[Столбец2]]-Таблица22462791012131457454[[#This Row],[Столбец3]]</f>
        <v>-3.5136600000000016</v>
      </c>
      <c r="F104" s="134">
        <f>Таблица22462791012131457454[[#This Row],[Столбец2]]*100/Таблица22462791012131457454[[#This Row],[Столбец3]]-100</f>
        <v>-5.0022451063941276</v>
      </c>
      <c r="G104" s="134">
        <f t="shared" si="5"/>
        <v>4.8797568515752544E-2</v>
      </c>
      <c r="H104" s="188">
        <f t="shared" si="6"/>
        <v>4.0418186003125488E-2</v>
      </c>
      <c r="I104" s="205">
        <f>Таблица22462791012131457454[[#This Row],[Столбец3]]*12.7%</f>
        <v>8.920690819999999</v>
      </c>
      <c r="J104" s="205"/>
      <c r="K104" s="225">
        <f>5498.2-Таблица22462791012131457454[[#This Row],[Столбец4]]</f>
        <v>5433.3670000000002</v>
      </c>
      <c r="L104" s="225"/>
    </row>
    <row r="105" spans="1:12" s="133" customFormat="1" ht="21" x14ac:dyDescent="0.2">
      <c r="A105" s="151" t="s">
        <v>4</v>
      </c>
      <c r="B105" s="135">
        <f>SUM(B106,B111,B112)</f>
        <v>8123.0747130000009</v>
      </c>
      <c r="C105" s="86">
        <f>SUM(C106,C111,C112)</f>
        <v>6889.9984290000002</v>
      </c>
      <c r="D105" s="240">
        <f>SUM(D106,D111,D112)</f>
        <v>8544.5175049999998</v>
      </c>
      <c r="E105" s="86">
        <f>Таблица22462791012131457454[[#This Row],[Столбец2]]-Таблица22462791012131457454[[#This Row],[Столбец3]]</f>
        <v>421.44279199999892</v>
      </c>
      <c r="F105" s="135">
        <f>Таблица22462791012131457454[[#This Row],[Столбец2]]*100/Таблица22462791012131457454[[#This Row],[Столбец3]]-100</f>
        <v>5.1882176009723366</v>
      </c>
      <c r="G105" s="135">
        <f t="shared" si="5"/>
        <v>5.6431794873041792</v>
      </c>
      <c r="H105" s="186">
        <f t="shared" si="6"/>
        <v>5.1755469641537548</v>
      </c>
      <c r="I105" s="205">
        <f>Таблица22462791012131457454[[#This Row],[Столбец3]]*12.7%</f>
        <v>1031.6304885510001</v>
      </c>
      <c r="J105" s="205"/>
      <c r="K105" s="225">
        <f>5498.2-Таблица22462791012131457454[[#This Row],[Столбец4]]</f>
        <v>-1391.7984290000004</v>
      </c>
      <c r="L105" s="225"/>
    </row>
    <row r="106" spans="1:12" s="133" customFormat="1" ht="21" x14ac:dyDescent="0.2">
      <c r="A106" s="153" t="s">
        <v>27</v>
      </c>
      <c r="B106" s="154">
        <f>B107+B108+B109+B110</f>
        <v>2897.3151730000004</v>
      </c>
      <c r="C106" s="99">
        <f>C107+C108+C109+C110</f>
        <v>2903.4844190000003</v>
      </c>
      <c r="D106" s="246">
        <f>D107+D108+D109+D110</f>
        <v>3305.4264950000002</v>
      </c>
      <c r="E106" s="99">
        <f>Таблица22462791012131457454[[#This Row],[Столбец2]]-Таблица22462791012131457454[[#This Row],[Столбец3]]</f>
        <v>408.11132199999975</v>
      </c>
      <c r="F106" s="154">
        <f>Таблица22462791012131457454[[#This Row],[Столбец2]]*100/Таблица22462791012131457454[[#This Row],[Столбец3]]-100</f>
        <v>14.085844916120195</v>
      </c>
      <c r="G106" s="154">
        <f t="shared" si="5"/>
        <v>2.0127932008753344</v>
      </c>
      <c r="H106" s="190">
        <f t="shared" si="6"/>
        <v>2.0021481671048011</v>
      </c>
      <c r="I106" s="205">
        <f>Таблица22462791012131457454[[#This Row],[Столбец3]]*12.7%</f>
        <v>367.95902697100007</v>
      </c>
      <c r="J106" s="205"/>
      <c r="K106" s="225">
        <f>5498.2-Таблица22462791012131457454[[#This Row],[Столбец4]]</f>
        <v>2594.7155809999995</v>
      </c>
      <c r="L106" s="225"/>
    </row>
    <row r="107" spans="1:12" s="133" customFormat="1" ht="21" x14ac:dyDescent="0.2">
      <c r="A107" s="149" t="s">
        <v>33</v>
      </c>
      <c r="B107" s="134">
        <v>10.904856000000001</v>
      </c>
      <c r="C107" s="91">
        <v>15.387733000000001</v>
      </c>
      <c r="D107" s="245">
        <v>15.387733000000001</v>
      </c>
      <c r="E107" s="91">
        <f>Таблица22462791012131457454[[#This Row],[Столбец2]]-Таблица22462791012131457454[[#This Row],[Столбец3]]</f>
        <v>4.4828770000000002</v>
      </c>
      <c r="F107" s="134">
        <f>Таблица22462791012131457454[[#This Row],[Столбец2]]*100/Таблица22462791012131457454[[#This Row],[Столбец3]]-100</f>
        <v>41.108997679565874</v>
      </c>
      <c r="G107" s="134">
        <f t="shared" si="5"/>
        <v>7.5757101670777035E-3</v>
      </c>
      <c r="H107" s="188">
        <f t="shared" si="6"/>
        <v>9.3205888766399753E-3</v>
      </c>
      <c r="I107" s="205">
        <f>Таблица22462791012131457454[[#This Row],[Столбец3]]*12.7%</f>
        <v>1.3849167120000001</v>
      </c>
      <c r="J107" s="205"/>
      <c r="K107" s="225">
        <f>5498.2-Таблица22462791012131457454[[#This Row],[Столбец4]]</f>
        <v>5482.8122670000002</v>
      </c>
      <c r="L107" s="225"/>
    </row>
    <row r="108" spans="1:12" s="133" customFormat="1" ht="21" x14ac:dyDescent="0.2">
      <c r="A108" s="149" t="s">
        <v>34</v>
      </c>
      <c r="B108" s="154">
        <v>2880.4</v>
      </c>
      <c r="C108" s="99">
        <v>2880.4</v>
      </c>
      <c r="D108" s="246">
        <v>3281.57</v>
      </c>
      <c r="E108" s="99">
        <f>Таблица22462791012131457454[[#This Row],[Столбец2]]-Таблица22462791012131457454[[#This Row],[Столбец3]]</f>
        <v>401.17000000000007</v>
      </c>
      <c r="F108" s="154">
        <f>Таблица22462791012131457454[[#This Row],[Столбец2]]*100/Таблица22462791012131457454[[#This Row],[Столбец3]]-100</f>
        <v>13.927579502846825</v>
      </c>
      <c r="G108" s="154">
        <f t="shared" si="5"/>
        <v>2.0010420646774811</v>
      </c>
      <c r="H108" s="190">
        <f t="shared" si="6"/>
        <v>1.987697917550002</v>
      </c>
      <c r="I108" s="205">
        <f>Таблица22462791012131457454[[#This Row],[Столбец3]]*12.7%</f>
        <v>365.81080000000003</v>
      </c>
      <c r="J108" s="205"/>
      <c r="K108" s="225">
        <f>5498.2-Таблица22462791012131457454[[#This Row],[Столбец4]]</f>
        <v>2617.7999999999997</v>
      </c>
      <c r="L108" s="225"/>
    </row>
    <row r="109" spans="1:12" s="133" customFormat="1" ht="21" outlineLevel="1" x14ac:dyDescent="0.2">
      <c r="A109" s="149" t="s">
        <v>35</v>
      </c>
      <c r="B109" s="132">
        <v>2.3173669999999995</v>
      </c>
      <c r="C109" s="96">
        <v>3.7754059999999998</v>
      </c>
      <c r="D109" s="243">
        <v>4.1910819999999998</v>
      </c>
      <c r="E109" s="96">
        <f>Таблица22462791012131457454[[#This Row],[Столбец2]]-Таблица22462791012131457454[[#This Row],[Столбец3]]</f>
        <v>1.8737150000000002</v>
      </c>
      <c r="F109" s="132">
        <f>Таблица22462791012131457454[[#This Row],[Столбец2]]*100/Таблица22462791012131457454[[#This Row],[Столбец3]]-100</f>
        <v>80.855341428440141</v>
      </c>
      <c r="G109" s="132">
        <f t="shared" si="5"/>
        <v>1.609897530306714E-3</v>
      </c>
      <c r="H109" s="189">
        <f t="shared" si="6"/>
        <v>2.5386034622699796E-3</v>
      </c>
      <c r="I109" s="205">
        <f>Таблица22462791012131457454[[#This Row],[Столбец3]]*12.7%</f>
        <v>0.29430560899999997</v>
      </c>
      <c r="J109" s="205"/>
      <c r="K109" s="225">
        <f>5498.2-Таблица22462791012131457454[[#This Row],[Столбец4]]</f>
        <v>5494.4245940000001</v>
      </c>
      <c r="L109" s="225"/>
    </row>
    <row r="110" spans="1:12" s="133" customFormat="1" ht="21" outlineLevel="1" x14ac:dyDescent="0.2">
      <c r="A110" s="229" t="s">
        <v>102</v>
      </c>
      <c r="B110" s="132">
        <v>3.6929500000000002</v>
      </c>
      <c r="C110" s="247">
        <v>3.9212799999999999</v>
      </c>
      <c r="D110" s="243">
        <v>4.2776800000000001</v>
      </c>
      <c r="E110" s="96">
        <f>Таблица22462791012131457454[[#This Row],[Столбец2]]-Таблица22462791012131457454[[#This Row],[Столбец3]]</f>
        <v>0.58472999999999997</v>
      </c>
      <c r="F110" s="132">
        <f>Таблица22462791012131457454[[#This Row],[Столбец2]]*100/Таблица22462791012131457454[[#This Row],[Столбец3]]-100</f>
        <v>15.8336830988776</v>
      </c>
      <c r="G110" s="132">
        <f>B109/$B$7*100</f>
        <v>1.609897530306714E-3</v>
      </c>
      <c r="H110" s="189">
        <f>D109/$D$7*100</f>
        <v>2.5386034622699796E-3</v>
      </c>
      <c r="I110" s="228">
        <f>Таблица22462791012131457454[[#This Row],[Столбец3]]*12.7%</f>
        <v>0.46900465000000002</v>
      </c>
      <c r="J110" s="225"/>
      <c r="K110" s="228">
        <f>5498.2-Таблица22462791012131457454[[#This Row],[Столбец4]]</f>
        <v>5494.2787200000002</v>
      </c>
      <c r="L110" s="225"/>
    </row>
    <row r="111" spans="1:12" s="133" customFormat="1" ht="21" x14ac:dyDescent="0.2">
      <c r="A111" s="153" t="s">
        <v>28</v>
      </c>
      <c r="B111" s="134">
        <v>5221.6770699999997</v>
      </c>
      <c r="C111" s="91">
        <f>3315.328+665.327</f>
        <v>3980.6549999999997</v>
      </c>
      <c r="D111" s="245">
        <f>3315.328+1917.904</f>
        <v>5233.232</v>
      </c>
      <c r="E111" s="91">
        <f>Таблица22462791012131457454[[#This Row],[Столбец2]]-Таблица22462791012131457454[[#This Row],[Столбец3]]</f>
        <v>11.55493000000024</v>
      </c>
      <c r="F111" s="134">
        <f>Таблица22462791012131457454[[#This Row],[Столбец2]]*100/Таблица22462791012131457454[[#This Row],[Столбец3]]-100</f>
        <v>0.22128771743443565</v>
      </c>
      <c r="G111" s="134">
        <f t="shared" si="5"/>
        <v>3.6275501545729267</v>
      </c>
      <c r="H111" s="188">
        <f t="shared" si="6"/>
        <v>3.1698499036912304</v>
      </c>
      <c r="I111" s="205">
        <f>Таблица22462791012131457454[[#This Row],[Столбец3]]*12.7%</f>
        <v>663.15298788999996</v>
      </c>
      <c r="J111" s="205"/>
      <c r="K111" s="225">
        <f>5498.2-Таблица22462791012131457454[[#This Row],[Столбец4]]</f>
        <v>1517.5450000000001</v>
      </c>
      <c r="L111" s="225"/>
    </row>
    <row r="112" spans="1:12" s="133" customFormat="1" ht="21" x14ac:dyDescent="0.2">
      <c r="A112" s="153" t="s">
        <v>29</v>
      </c>
      <c r="B112" s="154">
        <v>4.0824699999999998</v>
      </c>
      <c r="C112" s="99">
        <v>5.8590099999999996</v>
      </c>
      <c r="D112" s="246">
        <v>5.8590099999999996</v>
      </c>
      <c r="E112" s="99">
        <f>Таблица22462791012131457454[[#This Row],[Столбец2]]-Таблица22462791012131457454[[#This Row],[Столбец3]]</f>
        <v>1.7765399999999998</v>
      </c>
      <c r="F112" s="154">
        <f>Таблица22462791012131457454[[#This Row],[Столбец2]]*100/Таблица22462791012131457454[[#This Row],[Столбец3]]-100</f>
        <v>43.516302630515355</v>
      </c>
      <c r="G112" s="154">
        <f t="shared" si="5"/>
        <v>2.8361318559171904E-3</v>
      </c>
      <c r="H112" s="190">
        <f t="shared" si="6"/>
        <v>3.5488933577234789E-3</v>
      </c>
      <c r="I112" s="205">
        <f>Таблица22462791012131457454[[#This Row],[Столбец3]]*12.7%</f>
        <v>0.51847368999999999</v>
      </c>
      <c r="J112" s="205"/>
      <c r="K112" s="225">
        <f>5498.2-Таблица22462791012131457454[[#This Row],[Столбец4]]</f>
        <v>5492.3409899999997</v>
      </c>
      <c r="L112" s="225"/>
    </row>
    <row r="113" spans="1:12" s="133" customFormat="1" ht="21" x14ac:dyDescent="0.2">
      <c r="A113" s="151" t="s">
        <v>5</v>
      </c>
      <c r="B113" s="135">
        <f>SUM(B114,B119,B120)</f>
        <v>1424.8107479999999</v>
      </c>
      <c r="C113" s="86">
        <f>SUM(C114,C119,C120)</f>
        <v>1538.183</v>
      </c>
      <c r="D113" s="240">
        <f>SUM(D114,D119,D120)</f>
        <v>1591.9240000000002</v>
      </c>
      <c r="E113" s="86">
        <f>Таблица22462791012131457454[[#This Row],[Столбец2]]-Таблица22462791012131457454[[#This Row],[Столбец3]]</f>
        <v>167.11325200000033</v>
      </c>
      <c r="F113" s="135">
        <f>Таблица22462791012131457454[[#This Row],[Столбец2]]*100/Таблица22462791012131457454[[#This Row],[Столбец3]]-100</f>
        <v>11.728803438251461</v>
      </c>
      <c r="G113" s="135">
        <f t="shared" si="5"/>
        <v>0.9898299683907047</v>
      </c>
      <c r="H113" s="186">
        <f t="shared" si="6"/>
        <v>0.96425309217778965</v>
      </c>
      <c r="I113" s="205">
        <f>Таблица22462791012131457454[[#This Row],[Столбец3]]*12.7%</f>
        <v>180.95096499599998</v>
      </c>
      <c r="J113" s="205"/>
      <c r="K113" s="225">
        <f>5498.2-Таблица22462791012131457454[[#This Row],[Столбец4]]</f>
        <v>3960.0169999999998</v>
      </c>
      <c r="L113" s="225"/>
    </row>
    <row r="114" spans="1:12" s="133" customFormat="1" ht="21" x14ac:dyDescent="0.2">
      <c r="A114" s="153" t="s">
        <v>27</v>
      </c>
      <c r="B114" s="154">
        <f>B115+B116+B117+B118</f>
        <v>296.04549399999996</v>
      </c>
      <c r="C114" s="99">
        <f>C115+C116+C117+C118</f>
        <v>352.24</v>
      </c>
      <c r="D114" s="246">
        <f>D115+D116+D117+D118</f>
        <v>379.327</v>
      </c>
      <c r="E114" s="99">
        <f>Таблица22462791012131457454[[#This Row],[Столбец2]]-Таблица22462791012131457454[[#This Row],[Столбец3]]</f>
        <v>83.281506000000036</v>
      </c>
      <c r="F114" s="154">
        <f>Таблица22462791012131457454[[#This Row],[Столбец2]]*100/Таблица22462791012131457454[[#This Row],[Столбец3]]-100</f>
        <v>28.131320249042545</v>
      </c>
      <c r="G114" s="154">
        <f t="shared" si="5"/>
        <v>0.20566570148320534</v>
      </c>
      <c r="H114" s="190">
        <f t="shared" si="6"/>
        <v>0.2297642555150399</v>
      </c>
      <c r="I114" s="205">
        <f>Таблица22462791012131457454[[#This Row],[Столбец3]]*12.7%</f>
        <v>37.597777737999998</v>
      </c>
      <c r="J114" s="205"/>
      <c r="K114" s="225">
        <f>5498.2-Таблица22462791012131457454[[#This Row],[Столбец4]]</f>
        <v>5145.96</v>
      </c>
      <c r="L114" s="225"/>
    </row>
    <row r="115" spans="1:12" s="133" customFormat="1" ht="21" x14ac:dyDescent="0.2">
      <c r="A115" s="149" t="s">
        <v>33</v>
      </c>
      <c r="B115" s="134">
        <v>85.483817000000002</v>
      </c>
      <c r="C115" s="91">
        <v>121.629</v>
      </c>
      <c r="D115" s="245">
        <v>121.629</v>
      </c>
      <c r="E115" s="91">
        <f>Таблица22462791012131457454[[#This Row],[Столбец2]]-Таблица22462791012131457454[[#This Row],[Столбец3]]</f>
        <v>36.145183000000003</v>
      </c>
      <c r="F115" s="134">
        <f>Таблица22462791012131457454[[#This Row],[Столбец2]]*100/Таблица22462791012131457454[[#This Row],[Столбец3]]-100</f>
        <v>42.283070958331194</v>
      </c>
      <c r="G115" s="134">
        <f t="shared" si="5"/>
        <v>5.9386444127965544E-2</v>
      </c>
      <c r="H115" s="188">
        <f t="shared" si="6"/>
        <v>7.367257441215308E-2</v>
      </c>
      <c r="I115" s="205">
        <f>Таблица22462791012131457454[[#This Row],[Столбец3]]*12.7%</f>
        <v>10.856444759</v>
      </c>
      <c r="J115" s="205"/>
      <c r="K115" s="225">
        <f>5498.2-Таблица22462791012131457454[[#This Row],[Столбец4]]</f>
        <v>5376.5709999999999</v>
      </c>
      <c r="L115" s="225"/>
    </row>
    <row r="116" spans="1:12" s="133" customFormat="1" ht="21" x14ac:dyDescent="0.2">
      <c r="A116" s="149" t="s">
        <v>34</v>
      </c>
      <c r="B116" s="154">
        <v>40.084000000000003</v>
      </c>
      <c r="C116" s="99">
        <v>31.379000000000001</v>
      </c>
      <c r="D116" s="246">
        <v>42.878</v>
      </c>
      <c r="E116" s="99">
        <f>Таблица22462791012131457454[[#This Row],[Столбец2]]-Таблица22462791012131457454[[#This Row],[Столбец3]]</f>
        <v>2.7939999999999969</v>
      </c>
      <c r="F116" s="154">
        <f>Таблица22462791012131457454[[#This Row],[Столбец2]]*100/Таблица22462791012131457454[[#This Row],[Столбец3]]-100</f>
        <v>6.9703622392974722</v>
      </c>
      <c r="G116" s="154">
        <f t="shared" si="5"/>
        <v>2.7846747021431795E-2</v>
      </c>
      <c r="H116" s="190">
        <f t="shared" si="6"/>
        <v>2.5971870570705175E-2</v>
      </c>
      <c r="I116" s="205">
        <f>Таблица22462791012131457454[[#This Row],[Столбец3]]*12.7%</f>
        <v>5.0906680000000009</v>
      </c>
      <c r="J116" s="205"/>
      <c r="K116" s="225">
        <f>5498.2-Таблица22462791012131457454[[#This Row],[Столбец4]]</f>
        <v>5466.8209999999999</v>
      </c>
      <c r="L116" s="225"/>
    </row>
    <row r="117" spans="1:12" s="133" customFormat="1" ht="21" outlineLevel="1" x14ac:dyDescent="0.2">
      <c r="A117" s="149" t="s">
        <v>35</v>
      </c>
      <c r="B117" s="132">
        <v>128.422642</v>
      </c>
      <c r="C117" s="96">
        <v>149.139126</v>
      </c>
      <c r="D117" s="243">
        <v>157.20701700000001</v>
      </c>
      <c r="E117" s="96">
        <f>Таблица22462791012131457454[[#This Row],[Столбец2]]-Таблица22462791012131457454[[#This Row],[Столбец3]]</f>
        <v>28.784375000000011</v>
      </c>
      <c r="F117" s="132">
        <f>Таблица22462791012131457454[[#This Row],[Столбец2]]*100/Таблица22462791012131457454[[#This Row],[Столбец3]]-100</f>
        <v>22.413785101851445</v>
      </c>
      <c r="G117" s="132">
        <f t="shared" si="5"/>
        <v>8.921646601132377E-2</v>
      </c>
      <c r="H117" s="189">
        <f t="shared" si="6"/>
        <v>9.5222731898191346E-2</v>
      </c>
      <c r="I117" s="205">
        <f>Таблица22462791012131457454[[#This Row],[Столбец3]]*12.7%</f>
        <v>16.309675534</v>
      </c>
      <c r="J117" s="205"/>
      <c r="K117" s="225">
        <f>5498.2-Таблица22462791012131457454[[#This Row],[Столбец4]]</f>
        <v>5349.0608739999998</v>
      </c>
      <c r="L117" s="225"/>
    </row>
    <row r="118" spans="1:12" s="133" customFormat="1" ht="21" outlineLevel="1" x14ac:dyDescent="0.2">
      <c r="A118" s="229" t="s">
        <v>102</v>
      </c>
      <c r="B118" s="132">
        <v>42.055034999999997</v>
      </c>
      <c r="C118" s="247">
        <v>50.092874000000002</v>
      </c>
      <c r="D118" s="243">
        <v>57.612983</v>
      </c>
      <c r="E118" s="96">
        <f>Таблица22462791012131457454[[#This Row],[Столбец2]]-Таблица22462791012131457454[[#This Row],[Столбец3]]</f>
        <v>15.557948000000003</v>
      </c>
      <c r="F118" s="132">
        <f>Таблица22462791012131457454[[#This Row],[Столбец2]]*100/Таблица22462791012131457454[[#This Row],[Столбец3]]-100</f>
        <v>36.994257643585371</v>
      </c>
      <c r="G118" s="132">
        <f>B117/$B$7*100</f>
        <v>8.921646601132377E-2</v>
      </c>
      <c r="H118" s="189">
        <f>D117/$D$7*100</f>
        <v>9.5222731898191346E-2</v>
      </c>
      <c r="I118" s="228">
        <f>Таблица22462791012131457454[[#This Row],[Столбец3]]*12.7%</f>
        <v>5.3409894449999999</v>
      </c>
      <c r="J118" s="225"/>
      <c r="K118" s="228">
        <f>5498.2-Таблица22462791012131457454[[#This Row],[Столбец4]]</f>
        <v>5448.1071259999999</v>
      </c>
      <c r="L118" s="225"/>
    </row>
    <row r="119" spans="1:12" s="133" customFormat="1" ht="21" x14ac:dyDescent="0.2">
      <c r="A119" s="153" t="s">
        <v>28</v>
      </c>
      <c r="B119" s="134">
        <v>1091.4581539999999</v>
      </c>
      <c r="C119" s="91">
        <f>170.892+973.176</f>
        <v>1144.068</v>
      </c>
      <c r="D119" s="245">
        <f>985.105+182.822</f>
        <v>1167.9270000000001</v>
      </c>
      <c r="E119" s="91">
        <f>Таблица22462791012131457454[[#This Row],[Столбец2]]-Таблица22462791012131457454[[#This Row],[Столбец3]]</f>
        <v>76.468846000000212</v>
      </c>
      <c r="F119" s="134">
        <f>Таблица22462791012131457454[[#This Row],[Столбец2]]*100/Таблица22462791012131457454[[#This Row],[Столбец3]]-100</f>
        <v>7.0061179826047777</v>
      </c>
      <c r="G119" s="134">
        <f t="shared" si="5"/>
        <v>0.75824665948799885</v>
      </c>
      <c r="H119" s="188">
        <f t="shared" si="6"/>
        <v>0.70743152385913488</v>
      </c>
      <c r="I119" s="205">
        <f>Таблица22462791012131457454[[#This Row],[Столбец3]]*12.7%</f>
        <v>138.61518555799998</v>
      </c>
      <c r="J119" s="205"/>
      <c r="K119" s="225">
        <f>5498.2-Таблица22462791012131457454[[#This Row],[Столбец4]]</f>
        <v>4354.1319999999996</v>
      </c>
      <c r="L119" s="225"/>
    </row>
    <row r="120" spans="1:12" s="133" customFormat="1" ht="21" x14ac:dyDescent="0.2">
      <c r="A120" s="153" t="s">
        <v>29</v>
      </c>
      <c r="B120" s="154">
        <v>37.307099999999998</v>
      </c>
      <c r="C120" s="99">
        <v>41.875</v>
      </c>
      <c r="D120" s="246">
        <v>44.67</v>
      </c>
      <c r="E120" s="99">
        <f>Таблица22462791012131457454[[#This Row],[Столбец2]]-Таблица22462791012131457454[[#This Row],[Столбец3]]</f>
        <v>7.3629000000000033</v>
      </c>
      <c r="F120" s="154">
        <f>Таблица22462791012131457454[[#This Row],[Столбец2]]*100/Таблица22462791012131457454[[#This Row],[Столбец3]]-100</f>
        <v>19.735921580610665</v>
      </c>
      <c r="G120" s="154">
        <f t="shared" si="5"/>
        <v>2.5917607419500503E-2</v>
      </c>
      <c r="H120" s="190">
        <f t="shared" si="6"/>
        <v>2.7057312803614911E-2</v>
      </c>
      <c r="I120" s="205">
        <f>Таблица22462791012131457454[[#This Row],[Столбец3]]*12.7%</f>
        <v>4.7380016999999999</v>
      </c>
      <c r="J120" s="205"/>
      <c r="K120" s="225">
        <f>5498.2-Таблица22462791012131457454[[#This Row],[Столбец4]]</f>
        <v>5456.3249999999998</v>
      </c>
      <c r="L120" s="225"/>
    </row>
    <row r="121" spans="1:12" s="133" customFormat="1" ht="21" x14ac:dyDescent="0.2">
      <c r="A121" s="151" t="s">
        <v>6</v>
      </c>
      <c r="B121" s="135">
        <f>SUM(B122,B127)</f>
        <v>309.29236200000003</v>
      </c>
      <c r="C121" s="86">
        <f>SUM(C122,C127)</f>
        <v>327.311849</v>
      </c>
      <c r="D121" s="240">
        <f>SUM(D122,D127)</f>
        <v>345.61939799999999</v>
      </c>
      <c r="E121" s="86">
        <f>Таблица22462791012131457454[[#This Row],[Столбец2]]-Таблица22462791012131457454[[#This Row],[Столбец3]]</f>
        <v>36.327035999999964</v>
      </c>
      <c r="F121" s="135">
        <f>Таблица22462791012131457454[[#This Row],[Столбец2]]*100/Таблица22462791012131457454[[#This Row],[Столбец3]]-100</f>
        <v>11.745209537376155</v>
      </c>
      <c r="G121" s="135">
        <f t="shared" si="5"/>
        <v>0.21486843030324082</v>
      </c>
      <c r="H121" s="186">
        <f t="shared" si="6"/>
        <v>0.20934703744533417</v>
      </c>
      <c r="I121" s="205">
        <f>Таблица22462791012131457454[[#This Row],[Столбец3]]*12.7%</f>
        <v>39.280129974000005</v>
      </c>
      <c r="J121" s="205"/>
      <c r="K121" s="225">
        <f>5498.2-Таблица22462791012131457454[[#This Row],[Столбец4]]</f>
        <v>5170.8881510000001</v>
      </c>
      <c r="L121" s="225"/>
    </row>
    <row r="122" spans="1:12" s="133" customFormat="1" ht="21" x14ac:dyDescent="0.2">
      <c r="A122" s="153" t="s">
        <v>27</v>
      </c>
      <c r="B122" s="154">
        <f>B123+B124+B125+B126</f>
        <v>306.05804700000004</v>
      </c>
      <c r="C122" s="99">
        <f>C123+C124+C125+C126</f>
        <v>322.975889</v>
      </c>
      <c r="D122" s="246">
        <f>D123+D124+D125+D126</f>
        <v>340.80207799999999</v>
      </c>
      <c r="E122" s="99">
        <f>Таблица22462791012131457454[[#This Row],[Столбец2]]-Таблица22462791012131457454[[#This Row],[Столбец3]]</f>
        <v>34.74403099999995</v>
      </c>
      <c r="F122" s="154">
        <f>Таблица22462791012131457454[[#This Row],[Столбец2]]*100/Таблица22462791012131457454[[#This Row],[Столбец3]]-100</f>
        <v>11.352105046922659</v>
      </c>
      <c r="G122" s="154">
        <f t="shared" si="5"/>
        <v>0.21262152002500959</v>
      </c>
      <c r="H122" s="190">
        <f t="shared" si="6"/>
        <v>0.20642911189988736</v>
      </c>
      <c r="I122" s="205">
        <f>Таблица22462791012131457454[[#This Row],[Столбец3]]*12.7%</f>
        <v>38.869371969000007</v>
      </c>
      <c r="J122" s="205"/>
      <c r="K122" s="225">
        <f>5498.2-Таблица22462791012131457454[[#This Row],[Столбец4]]</f>
        <v>5175.2241109999995</v>
      </c>
      <c r="L122" s="225"/>
    </row>
    <row r="123" spans="1:12" s="133" customFormat="1" ht="21" x14ac:dyDescent="0.2">
      <c r="A123" s="149" t="s">
        <v>33</v>
      </c>
      <c r="B123" s="134">
        <v>37.905479999999997</v>
      </c>
      <c r="C123" s="245">
        <v>53.209871999999997</v>
      </c>
      <c r="D123" s="245">
        <v>53.209871999999997</v>
      </c>
      <c r="E123" s="91">
        <f>Таблица22462791012131457454[[#This Row],[Столбец2]]-Таблица22462791012131457454[[#This Row],[Столбец3]]</f>
        <v>15.304392</v>
      </c>
      <c r="F123" s="134">
        <f>Таблица22462791012131457454[[#This Row],[Столбец2]]*100/Таблица22462791012131457454[[#This Row],[Столбец3]]-100</f>
        <v>40.375143646776138</v>
      </c>
      <c r="G123" s="134">
        <f t="shared" si="5"/>
        <v>2.6333307860641215E-2</v>
      </c>
      <c r="H123" s="188">
        <f t="shared" si="6"/>
        <v>3.2230045913237304E-2</v>
      </c>
      <c r="I123" s="205">
        <f>Таблица22462791012131457454[[#This Row],[Столбец3]]*12.7%</f>
        <v>4.8139959599999997</v>
      </c>
      <c r="J123" s="205"/>
      <c r="K123" s="225">
        <f>5498.2-Таблица22462791012131457454[[#This Row],[Столбец4]]</f>
        <v>5444.9901279999995</v>
      </c>
      <c r="L123" s="225"/>
    </row>
    <row r="124" spans="1:12" s="133" customFormat="1" ht="21" x14ac:dyDescent="0.2">
      <c r="A124" s="149" t="s">
        <v>34</v>
      </c>
      <c r="B124" s="154">
        <v>142.49299999999999</v>
      </c>
      <c r="C124" s="99">
        <v>142.49299999999999</v>
      </c>
      <c r="D124" s="246">
        <v>151.488</v>
      </c>
      <c r="E124" s="99">
        <f>Таблица22462791012131457454[[#This Row],[Столбец2]]-Таблица22462791012131457454[[#This Row],[Столбец3]]</f>
        <v>8.9950000000000045</v>
      </c>
      <c r="F124" s="154">
        <f>Таблица22462791012131457454[[#This Row],[Столбец2]]*100/Таблица22462791012131457454[[#This Row],[Столбец3]]-100</f>
        <v>6.3125907939337367</v>
      </c>
      <c r="G124" s="154">
        <f t="shared" si="5"/>
        <v>9.8991281392198399E-2</v>
      </c>
      <c r="H124" s="190">
        <f t="shared" si="6"/>
        <v>9.1758634474905204E-2</v>
      </c>
      <c r="I124" s="205">
        <f>Таблица22462791012131457454[[#This Row],[Столбец3]]*12.7%</f>
        <v>18.096610999999999</v>
      </c>
      <c r="J124" s="205"/>
      <c r="K124" s="225">
        <f>5498.2-Таблица22462791012131457454[[#This Row],[Столбец4]]</f>
        <v>5355.7069999999994</v>
      </c>
      <c r="L124" s="225"/>
    </row>
    <row r="125" spans="1:12" s="133" customFormat="1" ht="21" outlineLevel="1" x14ac:dyDescent="0.2">
      <c r="A125" s="149" t="s">
        <v>35</v>
      </c>
      <c r="B125" s="132">
        <v>125.421618</v>
      </c>
      <c r="C125" s="96">
        <v>127.071209</v>
      </c>
      <c r="D125" s="243">
        <v>135.888316</v>
      </c>
      <c r="E125" s="96">
        <f>Таблица22462791012131457454[[#This Row],[Столбец2]]-Таблица22462791012131457454[[#This Row],[Столбец3]]</f>
        <v>10.466698000000008</v>
      </c>
      <c r="F125" s="132">
        <f>Таблица22462791012131457454[[#This Row],[Столбец2]]*100/Таблица22462791012131457454[[#This Row],[Столбец3]]-100</f>
        <v>8.345210472408354</v>
      </c>
      <c r="G125" s="132">
        <f t="shared" si="5"/>
        <v>8.7131625273541971E-2</v>
      </c>
      <c r="H125" s="189">
        <f t="shared" si="6"/>
        <v>8.2309663585593662E-2</v>
      </c>
      <c r="I125" s="205">
        <f>Таблица22462791012131457454[[#This Row],[Столбец3]]*12.7%</f>
        <v>15.928545485999999</v>
      </c>
      <c r="J125" s="205"/>
      <c r="K125" s="225">
        <f>5498.2-Таблица22462791012131457454[[#This Row],[Столбец4]]</f>
        <v>5371.1287910000001</v>
      </c>
      <c r="L125" s="225"/>
    </row>
    <row r="126" spans="1:12" s="133" customFormat="1" ht="21" outlineLevel="1" x14ac:dyDescent="0.2">
      <c r="A126" s="229" t="s">
        <v>102</v>
      </c>
      <c r="B126" s="132">
        <v>0.23794899999999999</v>
      </c>
      <c r="C126" s="247">
        <v>0.20180799999999999</v>
      </c>
      <c r="D126" s="243">
        <v>0.21589</v>
      </c>
      <c r="E126" s="96">
        <f>Таблица22462791012131457454[[#This Row],[Столбец2]]-Таблица22462791012131457454[[#This Row],[Столбец3]]</f>
        <v>-2.2058999999999995E-2</v>
      </c>
      <c r="F126" s="132">
        <f>Таблица22462791012131457454[[#This Row],[Столбец2]]*100/Таблица22462791012131457454[[#This Row],[Столбец3]]-100</f>
        <v>-9.2704739250847865</v>
      </c>
      <c r="G126" s="132">
        <f>B125/$B$7*100</f>
        <v>8.7131625273541971E-2</v>
      </c>
      <c r="H126" s="189">
        <f>D125/$D$7*100</f>
        <v>8.2309663585593662E-2</v>
      </c>
      <c r="I126" s="228">
        <f>Таблица22462791012131457454[[#This Row],[Столбец3]]*12.7%</f>
        <v>3.0219522999999998E-2</v>
      </c>
      <c r="J126" s="225"/>
      <c r="K126" s="228">
        <f>5498.2-Таблица22462791012131457454[[#This Row],[Столбец4]]</f>
        <v>5497.998192</v>
      </c>
      <c r="L126" s="225"/>
    </row>
    <row r="127" spans="1:12" s="133" customFormat="1" ht="21" x14ac:dyDescent="0.2">
      <c r="A127" s="153" t="s">
        <v>29</v>
      </c>
      <c r="B127" s="134">
        <v>3.2343150000000001</v>
      </c>
      <c r="C127" s="91">
        <v>4.33596</v>
      </c>
      <c r="D127" s="245">
        <v>4.8173199999999996</v>
      </c>
      <c r="E127" s="91">
        <f>Таблица22462791012131457454[[#This Row],[Столбец2]]-Таблица22462791012131457454[[#This Row],[Столбец3]]</f>
        <v>1.5830049999999996</v>
      </c>
      <c r="F127" s="134">
        <f>Таблица22462791012131457454[[#This Row],[Столбец2]]*100/Таблица22462791012131457454[[#This Row],[Столбец3]]-100</f>
        <v>48.944057706191245</v>
      </c>
      <c r="G127" s="134">
        <f t="shared" si="5"/>
        <v>2.2469102782312687E-3</v>
      </c>
      <c r="H127" s="188">
        <f t="shared" si="6"/>
        <v>2.9179255454468362E-3</v>
      </c>
      <c r="I127" s="205">
        <f>Таблица22462791012131457454[[#This Row],[Столбец3]]*12.7%</f>
        <v>0.41075800500000004</v>
      </c>
      <c r="J127" s="205"/>
      <c r="K127" s="225">
        <f>5498.2-Таблица22462791012131457454[[#This Row],[Столбец4]]</f>
        <v>5493.8640399999995</v>
      </c>
      <c r="L127" s="225"/>
    </row>
    <row r="128" spans="1:12" s="133" customFormat="1" ht="21" x14ac:dyDescent="0.2">
      <c r="A128" s="151" t="s">
        <v>14</v>
      </c>
      <c r="B128" s="135">
        <f>SUM(B129,B134,B135)</f>
        <v>3530.6112999999996</v>
      </c>
      <c r="C128" s="86">
        <f>SUM(C129,C134,C135)</f>
        <v>3035.1013170000001</v>
      </c>
      <c r="D128" s="240">
        <f>SUM(D129,D134,D135)</f>
        <v>3225.4769879999999</v>
      </c>
      <c r="E128" s="86">
        <f>Таблица22462791012131457454[[#This Row],[Столбец2]]-Таблица22462791012131457454[[#This Row],[Столбец3]]</f>
        <v>-305.13431199999968</v>
      </c>
      <c r="F128" s="135">
        <f>Таблица22462791012131457454[[#This Row],[Столбец2]]*100/Таблица22462791012131457454[[#This Row],[Столбец3]]-100</f>
        <v>-8.6425348494182685</v>
      </c>
      <c r="G128" s="135">
        <f t="shared" si="5"/>
        <v>2.4527502170968076</v>
      </c>
      <c r="H128" s="186">
        <f t="shared" si="6"/>
        <v>1.9537215089585325</v>
      </c>
      <c r="I128" s="205">
        <f>Таблица22462791012131457454[[#This Row],[Столбец3]]*12.7%</f>
        <v>448.38763509999995</v>
      </c>
      <c r="J128" s="205"/>
      <c r="K128" s="225">
        <f>5498.2-Таблица22462791012131457454[[#This Row],[Столбец4]]</f>
        <v>2463.0986829999997</v>
      </c>
      <c r="L128" s="225"/>
    </row>
    <row r="129" spans="1:12" s="133" customFormat="1" ht="21" x14ac:dyDescent="0.2">
      <c r="A129" s="153" t="s">
        <v>27</v>
      </c>
      <c r="B129" s="154">
        <f>B130+B131+B132+B133</f>
        <v>759.19419999999991</v>
      </c>
      <c r="C129" s="99">
        <f>C130+C131+C132+C133</f>
        <v>815.37766199999999</v>
      </c>
      <c r="D129" s="246">
        <f>D130+D131+D132+D133</f>
        <v>826.42954299999997</v>
      </c>
      <c r="E129" s="99">
        <f>Таблица22462791012131457454[[#This Row],[Столбец2]]-Таблица22462791012131457454[[#This Row],[Столбец3]]</f>
        <v>67.235343000000057</v>
      </c>
      <c r="F129" s="154">
        <f>Таблица22462791012131457454[[#This Row],[Столбец2]]*100/Таблица22462791012131457454[[#This Row],[Столбец3]]-100</f>
        <v>8.8561455026922005</v>
      </c>
      <c r="G129" s="154">
        <f t="shared" si="5"/>
        <v>0.52741963944562154</v>
      </c>
      <c r="H129" s="190">
        <f t="shared" si="6"/>
        <v>0.50058121009848933</v>
      </c>
      <c r="I129" s="205">
        <f>Таблица22462791012131457454[[#This Row],[Столбец3]]*12.7%</f>
        <v>96.417663399999995</v>
      </c>
      <c r="J129" s="205"/>
      <c r="K129" s="225">
        <f>5498.2-Таблица22462791012131457454[[#This Row],[Столбец4]]</f>
        <v>4682.8223379999999</v>
      </c>
      <c r="L129" s="225"/>
    </row>
    <row r="130" spans="1:12" s="133" customFormat="1" ht="21" x14ac:dyDescent="0.2">
      <c r="A130" s="149" t="s">
        <v>33</v>
      </c>
      <c r="B130" s="134">
        <v>47.975667999999999</v>
      </c>
      <c r="C130" s="91">
        <v>68.067646999999994</v>
      </c>
      <c r="D130" s="245">
        <v>68.067646999999994</v>
      </c>
      <c r="E130" s="91">
        <f>Таблица22462791012131457454[[#This Row],[Столбец2]]-Таблица22462791012131457454[[#This Row],[Столбец3]]</f>
        <v>20.091978999999995</v>
      </c>
      <c r="F130" s="134">
        <f>Таблица22462791012131457454[[#This Row],[Столбец2]]*100/Таблица22462791012131457454[[#This Row],[Столбец3]]-100</f>
        <v>41.879519009511228</v>
      </c>
      <c r="G130" s="134">
        <f t="shared" si="5"/>
        <v>3.3329166000903118E-2</v>
      </c>
      <c r="H130" s="188">
        <f t="shared" si="6"/>
        <v>4.1229630998098052E-2</v>
      </c>
      <c r="I130" s="205">
        <f>Таблица22462791012131457454[[#This Row],[Столбец3]]*12.7%</f>
        <v>6.0929098359999996</v>
      </c>
      <c r="J130" s="205"/>
      <c r="K130" s="225">
        <f>5498.2-Таблица22462791012131457454[[#This Row],[Столбец4]]</f>
        <v>5430.132353</v>
      </c>
      <c r="L130" s="225"/>
    </row>
    <row r="131" spans="1:12" s="133" customFormat="1" ht="21" x14ac:dyDescent="0.2">
      <c r="A131" s="149" t="s">
        <v>34</v>
      </c>
      <c r="B131" s="134">
        <v>298.5</v>
      </c>
      <c r="C131" s="91">
        <v>295.077</v>
      </c>
      <c r="D131" s="245">
        <v>305.50099999999998</v>
      </c>
      <c r="E131" s="91">
        <f>Таблица22462791012131457454[[#This Row],[Столбец2]]-Таблица22462791012131457454[[#This Row],[Столбец3]]</f>
        <v>7.0009999999999764</v>
      </c>
      <c r="F131" s="134">
        <f>Таблица22462791012131457454[[#This Row],[Столбец2]]*100/Таблица22462791012131457454[[#This Row],[Столбец3]]-100</f>
        <v>2.3453936348408604</v>
      </c>
      <c r="G131" s="134">
        <f t="shared" si="5"/>
        <v>0.20737087081871547</v>
      </c>
      <c r="H131" s="188">
        <f t="shared" si="6"/>
        <v>0.18504670066749851</v>
      </c>
      <c r="I131" s="205">
        <f>Таблица22462791012131457454[[#This Row],[Столбец3]]*12.7%</f>
        <v>37.909500000000001</v>
      </c>
      <c r="J131" s="205"/>
      <c r="K131" s="225">
        <f>5498.2-Таблица22462791012131457454[[#This Row],[Столбец4]]</f>
        <v>5203.1229999999996</v>
      </c>
      <c r="L131" s="225"/>
    </row>
    <row r="132" spans="1:12" s="133" customFormat="1" ht="21" outlineLevel="1" x14ac:dyDescent="0.2">
      <c r="A132" s="149" t="s">
        <v>35</v>
      </c>
      <c r="B132" s="132">
        <v>408.881575</v>
      </c>
      <c r="C132" s="96">
        <v>447.852576</v>
      </c>
      <c r="D132" s="243">
        <v>448.41650499999997</v>
      </c>
      <c r="E132" s="96">
        <f>Таблица22462791012131457454[[#This Row],[Столбец2]]-Таблица22462791012131457454[[#This Row],[Столбец3]]</f>
        <v>39.534929999999974</v>
      </c>
      <c r="F132" s="132">
        <f>Таблица22462791012131457454[[#This Row],[Столбец2]]*100/Таблица22462791012131457454[[#This Row],[Столбец3]]-100</f>
        <v>9.6690417023559831</v>
      </c>
      <c r="G132" s="132">
        <f t="shared" si="5"/>
        <v>0.28405403105352739</v>
      </c>
      <c r="H132" s="189">
        <f t="shared" si="6"/>
        <v>0.27161284177498873</v>
      </c>
      <c r="I132" s="205">
        <f>Таблица22462791012131457454[[#This Row],[Столбец3]]*12.7%</f>
        <v>51.927960024999997</v>
      </c>
      <c r="J132" s="205"/>
      <c r="K132" s="225">
        <f>5498.2-Таблица22462791012131457454[[#This Row],[Столбец4]]</f>
        <v>5050.3474239999996</v>
      </c>
      <c r="L132" s="225"/>
    </row>
    <row r="133" spans="1:12" s="133" customFormat="1" ht="21" outlineLevel="1" x14ac:dyDescent="0.2">
      <c r="A133" s="229" t="s">
        <v>102</v>
      </c>
      <c r="B133" s="199">
        <v>3.836957</v>
      </c>
      <c r="C133" s="243">
        <v>4.380439</v>
      </c>
      <c r="D133" s="243">
        <v>4.4443910000000004</v>
      </c>
      <c r="E133" s="96">
        <f>Таблица22462791012131457454[[#This Row],[Столбец2]]-Таблица22462791012131457454[[#This Row],[Столбец3]]</f>
        <v>0.60743400000000047</v>
      </c>
      <c r="F133" s="132">
        <f>Таблица22462791012131457454[[#This Row],[Столбец2]]*100/Таблица22462791012131457454[[#This Row],[Столбец3]]-100</f>
        <v>15.831139103200812</v>
      </c>
      <c r="G133" s="132">
        <f>B133/$B$7*100</f>
        <v>2.6655715724755984E-3</v>
      </c>
      <c r="H133" s="189">
        <f>D133/$D$7*100</f>
        <v>2.6920366579039822E-3</v>
      </c>
      <c r="I133" s="228">
        <f>Таблица22462791012131457454[[#This Row],[Столбец3]]*12.7%</f>
        <v>0.487293539</v>
      </c>
      <c r="J133" s="225"/>
      <c r="K133" s="228">
        <f>5498.2-Таблица22462791012131457454[[#This Row],[Столбец4]]</f>
        <v>5493.8195610000002</v>
      </c>
      <c r="L133" s="225"/>
    </row>
    <row r="134" spans="1:12" s="133" customFormat="1" ht="21" x14ac:dyDescent="0.2">
      <c r="A134" s="153" t="s">
        <v>28</v>
      </c>
      <c r="B134" s="134">
        <v>2738.9164449999998</v>
      </c>
      <c r="C134" s="91">
        <f>529.009+1658.21</f>
        <v>2187.2190000000001</v>
      </c>
      <c r="D134" s="245">
        <f>588.656+1777.503</f>
        <v>2366.1589999999997</v>
      </c>
      <c r="E134" s="91">
        <f>Таблица22462791012131457454[[#This Row],[Столбец2]]-Таблица22462791012131457454[[#This Row],[Столбец3]]</f>
        <v>-372.75744500000019</v>
      </c>
      <c r="F134" s="134">
        <f>Таблица22462791012131457454[[#This Row],[Столбец2]]*100/Таблица22462791012131457454[[#This Row],[Столбец3]]-100</f>
        <v>-13.609668366498866</v>
      </c>
      <c r="G134" s="134">
        <f t="shared" si="5"/>
        <v>1.9027520546041892</v>
      </c>
      <c r="H134" s="188">
        <f t="shared" si="6"/>
        <v>1.4332192569081854</v>
      </c>
      <c r="I134" s="205">
        <f>Таблица22462791012131457454[[#This Row],[Столбец3]]*12.7%</f>
        <v>347.84238851499998</v>
      </c>
      <c r="J134" s="205"/>
      <c r="K134" s="225">
        <f>5498.2-Таблица22462791012131457454[[#This Row],[Столбец4]]</f>
        <v>3310.9809999999998</v>
      </c>
      <c r="L134" s="225"/>
    </row>
    <row r="135" spans="1:12" s="213" customFormat="1" ht="21" x14ac:dyDescent="0.2">
      <c r="A135" s="153" t="s">
        <v>29</v>
      </c>
      <c r="B135" s="134">
        <v>32.500655000000002</v>
      </c>
      <c r="C135" s="91">
        <v>32.504655</v>
      </c>
      <c r="D135" s="245">
        <v>32.888444999999997</v>
      </c>
      <c r="E135" s="91">
        <f>Таблица22462791012131457454[[#This Row],[Столбец2]]-Таблица22462791012131457454[[#This Row],[Столбец3]]</f>
        <v>0.38778999999999542</v>
      </c>
      <c r="F135" s="134">
        <f>Таблица22462791012131457454[[#This Row],[Столбец2]]*100/Таблица22462791012131457454[[#This Row],[Столбец3]]-100</f>
        <v>1.1931759529153965</v>
      </c>
      <c r="G135" s="134">
        <f t="shared" si="5"/>
        <v>2.2578523046997118E-2</v>
      </c>
      <c r="H135" s="188">
        <f t="shared" si="6"/>
        <v>1.9921041951857728E-2</v>
      </c>
      <c r="I135" s="205">
        <f>Таблица22462791012131457454[[#This Row],[Столбец3]]*12.7%</f>
        <v>4.1275831850000007</v>
      </c>
      <c r="J135" s="205"/>
      <c r="K135" s="225">
        <f>5498.2-Таблица22462791012131457454[[#This Row],[Столбец4]]</f>
        <v>5465.6953450000001</v>
      </c>
      <c r="L135" s="227"/>
    </row>
    <row r="136" spans="1:12" ht="42" x14ac:dyDescent="0.2">
      <c r="A136" s="151" t="s">
        <v>7</v>
      </c>
      <c r="B136" s="135">
        <f>SUM(B137,B141)</f>
        <v>138.527041</v>
      </c>
      <c r="C136" s="86">
        <f>SUM(C137,C141)</f>
        <v>149.81363999999999</v>
      </c>
      <c r="D136" s="240">
        <f>SUM(D137,D141)</f>
        <v>162.29164</v>
      </c>
      <c r="E136" s="86">
        <f>Таблица22462791012131457454[[#This Row],[Столбец2]]-Таблица22462791012131457454[[#This Row],[Столбец3]]</f>
        <v>23.764599000000004</v>
      </c>
      <c r="F136" s="135">
        <f>Таблица22462791012131457454[[#This Row],[Столбец2]]*100/Таблица22462791012131457454[[#This Row],[Столбец3]]-100</f>
        <v>17.155205820068019</v>
      </c>
      <c r="G136" s="135">
        <f t="shared" si="5"/>
        <v>9.6236090868039872E-2</v>
      </c>
      <c r="H136" s="186">
        <f t="shared" si="6"/>
        <v>9.8302567022423598E-2</v>
      </c>
      <c r="I136" s="205">
        <f>Таблица22462791012131457454[[#This Row],[Столбец3]]*12.7%</f>
        <v>17.592934206999999</v>
      </c>
      <c r="J136" s="205"/>
      <c r="K136" s="225">
        <f>5498.2-Таблица22462791012131457454[[#This Row],[Столбец4]]</f>
        <v>5348.3863599999995</v>
      </c>
      <c r="L136" s="223"/>
    </row>
    <row r="137" spans="1:12" ht="21" x14ac:dyDescent="0.2">
      <c r="A137" s="153" t="s">
        <v>27</v>
      </c>
      <c r="B137" s="154">
        <f>B138+B139</f>
        <v>135.497401</v>
      </c>
      <c r="C137" s="99">
        <f>C138+C139</f>
        <v>146.78399999999999</v>
      </c>
      <c r="D137" s="246">
        <f>D138+D139</f>
        <v>159.262</v>
      </c>
      <c r="E137" s="99">
        <f>Таблица22462791012131457454[[#This Row],[Столбец2]]-Таблица22462791012131457454[[#This Row],[Столбец3]]</f>
        <v>23.764599000000004</v>
      </c>
      <c r="F137" s="154">
        <f>Таблица22462791012131457454[[#This Row],[Столбец2]]*100/Таблица22462791012131457454[[#This Row],[Столбец3]]-100</f>
        <v>17.538785854645297</v>
      </c>
      <c r="G137" s="154">
        <f t="shared" si="5"/>
        <v>9.4131370315050894E-2</v>
      </c>
      <c r="H137" s="190">
        <f t="shared" si="6"/>
        <v>9.6467467018789291E-2</v>
      </c>
      <c r="I137" s="211">
        <f>Таблица22462791012131457454[[#This Row],[Столбец3]]*12.7%</f>
        <v>17.208169927</v>
      </c>
      <c r="J137" s="205"/>
      <c r="K137" s="225">
        <f>5498.2-Таблица22462791012131457454[[#This Row],[Столбец4]]</f>
        <v>5351.4160000000002</v>
      </c>
      <c r="L137" s="223"/>
    </row>
    <row r="138" spans="1:12" ht="21" x14ac:dyDescent="0.2">
      <c r="A138" s="149" t="s">
        <v>33</v>
      </c>
      <c r="B138" s="154">
        <v>15.71233</v>
      </c>
      <c r="C138" s="99">
        <v>21.998999999999999</v>
      </c>
      <c r="D138" s="246">
        <v>21.998999999999999</v>
      </c>
      <c r="E138" s="99">
        <f>Таблица22462791012131457454[[#This Row],[Столбец2]]-Таблица22462791012131457454[[#This Row],[Столбец3]]</f>
        <v>6.2866699999999991</v>
      </c>
      <c r="F138" s="154">
        <f>Таблица22462791012131457454[[#This Row],[Столбец2]]*100/Таблица22462791012131457454[[#This Row],[Столбец3]]-100</f>
        <v>40.011061376638622</v>
      </c>
      <c r="G138" s="154">
        <f t="shared" si="5"/>
        <v>1.0915509395949843E-2</v>
      </c>
      <c r="H138" s="190">
        <f t="shared" si="6"/>
        <v>1.3325135983136878E-2</v>
      </c>
      <c r="I138" s="205">
        <f>Таблица22462791012131457454[[#This Row],[Столбец3]]*12.7%</f>
        <v>1.9954659100000001</v>
      </c>
      <c r="J138" s="205"/>
      <c r="K138" s="225">
        <f>5498.2-Таблица22462791012131457454[[#This Row],[Столбец4]]</f>
        <v>5476.201</v>
      </c>
      <c r="L138" s="223"/>
    </row>
    <row r="139" spans="1:12" ht="21" outlineLevel="1" x14ac:dyDescent="0.2">
      <c r="A139" s="149" t="s">
        <v>35</v>
      </c>
      <c r="B139" s="155">
        <v>119.785071</v>
      </c>
      <c r="C139" s="93">
        <v>124.785</v>
      </c>
      <c r="D139" s="244">
        <v>137.26300000000001</v>
      </c>
      <c r="E139" s="93">
        <f>Таблица22462791012131457454[[#This Row],[Столбец2]]-Таблица22462791012131457454[[#This Row],[Столбец3]]</f>
        <v>17.477929000000003</v>
      </c>
      <c r="F139" s="155">
        <f>Таблица22462791012131457454[[#This Row],[Столбец2]]*100/Таблица22462791012131457454[[#This Row],[Столбец3]]-100</f>
        <v>14.591074542168954</v>
      </c>
      <c r="G139" s="155">
        <f t="shared" si="5"/>
        <v>8.3215860919101048E-2</v>
      </c>
      <c r="H139" s="191">
        <f t="shared" si="6"/>
        <v>8.3142331035652425E-2</v>
      </c>
      <c r="I139" s="205">
        <f>Таблица22462791012131457454[[#This Row],[Столбец3]]*12.7%</f>
        <v>15.212704017</v>
      </c>
      <c r="J139" s="205"/>
      <c r="K139" s="225">
        <f>5498.2-Таблица22462791012131457454[[#This Row],[Столбец4]]</f>
        <v>5373.415</v>
      </c>
      <c r="L139" s="223"/>
    </row>
    <row r="140" spans="1:12" ht="21" outlineLevel="1" x14ac:dyDescent="0.2">
      <c r="A140" s="229" t="s">
        <v>102</v>
      </c>
      <c r="B140" s="155"/>
      <c r="C140" s="250"/>
      <c r="D140" s="244"/>
      <c r="E140" s="93"/>
      <c r="F140" s="155"/>
      <c r="G140" s="155"/>
      <c r="H140" s="191"/>
      <c r="I140" s="228">
        <f>Таблица22462791012131457454[[#This Row],[Столбец3]]*12.7%</f>
        <v>0</v>
      </c>
      <c r="J140" s="225"/>
      <c r="K140" s="228">
        <f>5498.2-Таблица22462791012131457454[[#This Row],[Столбец4]]</f>
        <v>5498.2</v>
      </c>
      <c r="L140" s="223"/>
    </row>
    <row r="141" spans="1:12" ht="21" x14ac:dyDescent="0.2">
      <c r="A141" s="153" t="s">
        <v>29</v>
      </c>
      <c r="B141" s="134">
        <v>3.0296400000000001</v>
      </c>
      <c r="C141" s="91">
        <v>3.0296400000000001</v>
      </c>
      <c r="D141" s="245">
        <v>3.0296400000000001</v>
      </c>
      <c r="E141" s="91">
        <f>Таблица22462791012131457454[[#This Row],[Столбец2]]-Таблица22462791012131457454[[#This Row],[Столбец3]]</f>
        <v>0</v>
      </c>
      <c r="F141" s="134">
        <f>Таблица22462791012131457454[[#This Row],[Столбец2]]*100/Таблица22462791012131457454[[#This Row],[Столбец3]]-100</f>
        <v>0</v>
      </c>
      <c r="G141" s="134">
        <f>B141/$B$7*100</f>
        <v>2.1047205529889888E-3</v>
      </c>
      <c r="H141" s="188">
        <f>D141/$D$7*100</f>
        <v>1.8351000036342933E-3</v>
      </c>
      <c r="I141" s="205">
        <f>Таблица22462791012131457454[[#This Row],[Столбец3]]*12.7%</f>
        <v>0.38476428000000001</v>
      </c>
      <c r="J141" s="205"/>
      <c r="K141" s="225">
        <f>5498.2-Таблица22462791012131457454[[#This Row],[Столбец4]]</f>
        <v>5495.1703600000001</v>
      </c>
      <c r="L141" s="223"/>
    </row>
    <row r="142" spans="1:12" ht="21" x14ac:dyDescent="0.2">
      <c r="A142" s="151" t="s">
        <v>43</v>
      </c>
      <c r="B142" s="135">
        <f>B143</f>
        <v>4240.6018170000007</v>
      </c>
      <c r="C142" s="86">
        <f>C143</f>
        <v>6149.6</v>
      </c>
      <c r="D142" s="240">
        <f>D143</f>
        <v>6149.6</v>
      </c>
      <c r="E142" s="86">
        <f>Таблица22462791012131457454[[#This Row],[Столбец2]]-Таблица22462791012131457454[[#This Row],[Столбец3]]</f>
        <v>1908.9981829999997</v>
      </c>
      <c r="F142" s="135">
        <f>Таблица22462791012131457454[[#This Row],[Столбец2]]*100/Таблица22462791012131457454[[#This Row],[Столбец3]]-100</f>
        <v>45.017152408582263</v>
      </c>
      <c r="G142" s="135">
        <f t="shared" si="5"/>
        <v>2.9459875765049155</v>
      </c>
      <c r="H142" s="186">
        <f t="shared" si="6"/>
        <v>3.7249082340969388</v>
      </c>
      <c r="I142" s="205">
        <f>Таблица22462791012131457454[[#This Row],[Столбец3]]*12.7%</f>
        <v>538.55643075900014</v>
      </c>
      <c r="J142" s="205"/>
      <c r="K142" s="225">
        <f>5498.2-Таблица22462791012131457454[[#This Row],[Столбец4]]</f>
        <v>-651.40000000000055</v>
      </c>
      <c r="L142" s="223"/>
    </row>
    <row r="143" spans="1:12" ht="21" x14ac:dyDescent="0.2">
      <c r="A143" s="153" t="s">
        <v>94</v>
      </c>
      <c r="B143" s="134">
        <f>3860.601817+380</f>
        <v>4240.6018170000007</v>
      </c>
      <c r="C143" s="91">
        <v>6149.6</v>
      </c>
      <c r="D143" s="245">
        <v>6149.6</v>
      </c>
      <c r="E143" s="91">
        <f>Таблица22462791012131457454[[#This Row],[Столбец2]]-Таблица22462791012131457454[[#This Row],[Столбец3]]</f>
        <v>1908.9981829999997</v>
      </c>
      <c r="F143" s="134">
        <f>Таблица22462791012131457454[[#This Row],[Столбец2]]*100/Таблица22462791012131457454[[#This Row],[Столбец3]]-100</f>
        <v>45.017152408582263</v>
      </c>
      <c r="G143" s="134">
        <f t="shared" si="5"/>
        <v>2.9459875765049155</v>
      </c>
      <c r="H143" s="188">
        <f t="shared" si="6"/>
        <v>3.7249082340969388</v>
      </c>
      <c r="I143" s="205">
        <f>Таблица22462791012131457454[[#This Row],[Столбец3]]*12.7%</f>
        <v>538.55643075900014</v>
      </c>
      <c r="J143" s="205"/>
      <c r="K143" s="225">
        <f>5498.2-Таблица22462791012131457454[[#This Row],[Столбец4]]</f>
        <v>-651.40000000000055</v>
      </c>
      <c r="L143" s="223"/>
    </row>
    <row r="144" spans="1:12" ht="21" x14ac:dyDescent="0.2">
      <c r="A144" s="148" t="s">
        <v>44</v>
      </c>
      <c r="B144" s="134">
        <v>380</v>
      </c>
      <c r="C144" s="91">
        <v>380</v>
      </c>
      <c r="D144" s="245">
        <v>380</v>
      </c>
      <c r="E144" s="91">
        <f>Таблица22462791012131457454[[#This Row],[Столбец2]]-Таблица22462791012131457454[[#This Row],[Столбец3]]</f>
        <v>0</v>
      </c>
      <c r="F144" s="134">
        <f>Таблица22462791012131457454[[#This Row],[Столбец2]]*100/Таблица22462791012131457454[[#This Row],[Столбец3]]-100</f>
        <v>0</v>
      </c>
      <c r="G144" s="134">
        <f t="shared" si="5"/>
        <v>0.2639897182951822</v>
      </c>
      <c r="H144" s="188">
        <f t="shared" si="6"/>
        <v>0.23017190206791283</v>
      </c>
      <c r="I144" s="205">
        <f>Таблица22462791012131457454[[#This Row],[Столбец3]]*12.7%</f>
        <v>48.26</v>
      </c>
      <c r="J144" s="205"/>
      <c r="K144" s="225">
        <f>5498.2-Таблица22462791012131457454[[#This Row],[Столбец4]]</f>
        <v>5118.2</v>
      </c>
      <c r="L144" s="223"/>
    </row>
    <row r="145" spans="1:12" ht="21" x14ac:dyDescent="0.2">
      <c r="A145" s="156" t="s">
        <v>38</v>
      </c>
      <c r="B145" s="132">
        <f>1271.9+200</f>
        <v>1471.9</v>
      </c>
      <c r="C145" s="96">
        <f>1156.397+1988.216</f>
        <v>3144.6129999999998</v>
      </c>
      <c r="D145" s="243">
        <f>1156.397+1988.216</f>
        <v>3144.6129999999998</v>
      </c>
      <c r="E145" s="96">
        <f>Таблица22462791012131457454[[#This Row],[Столбец2]]-Таблица22462791012131457454[[#This Row],[Столбец3]]</f>
        <v>1672.7129999999997</v>
      </c>
      <c r="F145" s="132">
        <f>Таблица22462791012131457454[[#This Row],[Столбец2]]*100/Таблица22462791012131457454[[#This Row],[Столбец3]]-100</f>
        <v>113.6431143420069</v>
      </c>
      <c r="G145" s="132">
        <f t="shared" si="5"/>
        <v>1.0225433325228386</v>
      </c>
      <c r="H145" s="189">
        <f t="shared" si="6"/>
        <v>1.9047409354670672</v>
      </c>
      <c r="I145" s="205">
        <f>Таблица22462791012131457454[[#This Row],[Столбец3]]*12.7%</f>
        <v>186.93130000000002</v>
      </c>
      <c r="J145" s="205"/>
      <c r="K145" s="225">
        <f>5498.2-Таблица22462791012131457454[[#This Row],[Столбец4]]</f>
        <v>2353.587</v>
      </c>
      <c r="L145" s="223"/>
    </row>
    <row r="146" spans="1:12" ht="21" x14ac:dyDescent="0.2">
      <c r="A146" s="156" t="s">
        <v>39</v>
      </c>
      <c r="B146" s="132">
        <v>106</v>
      </c>
      <c r="C146" s="96">
        <v>106</v>
      </c>
      <c r="D146" s="243">
        <v>106</v>
      </c>
      <c r="E146" s="96">
        <f>Таблица22462791012131457454[[#This Row],[Столбец2]]-Таблица22462791012131457454[[#This Row],[Столбец3]]</f>
        <v>0</v>
      </c>
      <c r="F146" s="132">
        <f>Таблица22462791012131457454[[#This Row],[Столбец2]]*100/Таблица22462791012131457454[[#This Row],[Столбец3]]-100</f>
        <v>0</v>
      </c>
      <c r="G146" s="132">
        <f t="shared" si="5"/>
        <v>7.3639237208656089E-2</v>
      </c>
      <c r="H146" s="189">
        <f t="shared" si="6"/>
        <v>6.4205846366312533E-2</v>
      </c>
      <c r="I146" s="205">
        <f>Таблица22462791012131457454[[#This Row],[Столбец3]]*12.7%</f>
        <v>13.462</v>
      </c>
      <c r="J146" s="205"/>
      <c r="K146" s="225">
        <f>5498.2-Таблица22462791012131457454[[#This Row],[Столбец4]]</f>
        <v>5392.2</v>
      </c>
      <c r="L146" s="223"/>
    </row>
    <row r="147" spans="1:12" ht="21" x14ac:dyDescent="0.2">
      <c r="A147" s="156" t="s">
        <v>8</v>
      </c>
      <c r="B147" s="132">
        <f>B148+B149</f>
        <v>1109.8823639999998</v>
      </c>
      <c r="C147" s="96">
        <f>C148+C149</f>
        <v>1044.5939699999999</v>
      </c>
      <c r="D147" s="243">
        <f>D148+D149</f>
        <v>1044.5939699999999</v>
      </c>
      <c r="E147" s="96">
        <f>Таблица22462791012131457454[[#This Row],[Столбец2]]-Таблица22462791012131457454[[#This Row],[Столбец3]]</f>
        <v>-65.288393999999926</v>
      </c>
      <c r="F147" s="132">
        <f>Таблица22462791012131457454[[#This Row],[Столбец2]]*100/Таблица22462791012131457454[[#This Row],[Столбец3]]-100</f>
        <v>-5.8824607109443008</v>
      </c>
      <c r="G147" s="132">
        <f t="shared" si="5"/>
        <v>0.77104613845566006</v>
      </c>
      <c r="H147" s="189">
        <f t="shared" si="6"/>
        <v>0.63272679200940063</v>
      </c>
      <c r="I147" s="205">
        <f>Таблица22462791012131457454[[#This Row],[Столбец3]]*12.7%</f>
        <v>140.95506022799998</v>
      </c>
      <c r="J147" s="205"/>
      <c r="K147" s="225">
        <f>5498.2-Таблица22462791012131457454[[#This Row],[Столбец4]]</f>
        <v>4453.6060299999999</v>
      </c>
      <c r="L147" s="223"/>
    </row>
    <row r="148" spans="1:12" ht="21" x14ac:dyDescent="0.2">
      <c r="A148" s="156" t="s">
        <v>41</v>
      </c>
      <c r="B148" s="134">
        <v>74.819999999999993</v>
      </c>
      <c r="C148" s="91">
        <v>72.7</v>
      </c>
      <c r="D148" s="245">
        <v>72.7</v>
      </c>
      <c r="E148" s="91">
        <f>Таблица22462791012131457454[[#This Row],[Столбец2]]-Таблица22462791012131457454[[#This Row],[Столбец3]]</f>
        <v>-2.1199999999999903</v>
      </c>
      <c r="F148" s="134">
        <f>Таблица22462791012131457454[[#This Row],[Столбец2]]*100/Таблица22462791012131457454[[#This Row],[Столбец3]]-100</f>
        <v>-2.833466987436509</v>
      </c>
      <c r="G148" s="134">
        <f t="shared" si="5"/>
        <v>5.1978186112751387E-2</v>
      </c>
      <c r="H148" s="188">
        <f t="shared" si="6"/>
        <v>4.4035519158782274E-2</v>
      </c>
      <c r="I148" s="205">
        <f>Таблица22462791012131457454[[#This Row],[Столбец3]]*12.7%</f>
        <v>9.5021399999999989</v>
      </c>
      <c r="J148" s="205"/>
      <c r="K148" s="225">
        <f>5498.2-Таблица22462791012131457454[[#This Row],[Столбец4]]</f>
        <v>5425.5</v>
      </c>
      <c r="L148" s="223"/>
    </row>
    <row r="149" spans="1:12" ht="21" x14ac:dyDescent="0.2">
      <c r="A149" s="156" t="s">
        <v>40</v>
      </c>
      <c r="B149" s="132">
        <v>1035.0623639999999</v>
      </c>
      <c r="C149" s="96">
        <v>971.89396999999997</v>
      </c>
      <c r="D149" s="243">
        <v>971.89396999999997</v>
      </c>
      <c r="E149" s="96">
        <f>Таблица22462791012131457454[[#This Row],[Столбец2]]-Таблица22462791012131457454[[#This Row],[Столбец3]]</f>
        <v>-63.168393999999921</v>
      </c>
      <c r="F149" s="132">
        <f>Таблица22462791012131457454[[#This Row],[Столбец2]]*100/Таблица22462791012131457454[[#This Row],[Столбец3]]-100</f>
        <v>-6.1028587452340162</v>
      </c>
      <c r="G149" s="132">
        <f t="shared" si="5"/>
        <v>0.71906795234290866</v>
      </c>
      <c r="H149" s="189">
        <f t="shared" si="6"/>
        <v>0.5886912728506184</v>
      </c>
      <c r="I149" s="205">
        <f>Таблица22462791012131457454[[#This Row],[Столбец3]]*12.7%</f>
        <v>131.45292022799998</v>
      </c>
      <c r="J149" s="205"/>
      <c r="K149" s="225">
        <f>5498.2-Таблица22462791012131457454[[#This Row],[Столбец4]]</f>
        <v>4526.3060299999997</v>
      </c>
      <c r="L149" s="223"/>
    </row>
    <row r="150" spans="1:12" ht="21" x14ac:dyDescent="0.2">
      <c r="A150" s="220" t="s">
        <v>42</v>
      </c>
      <c r="B150" s="221">
        <f>B11-B23</f>
        <v>-1151.5599270000093</v>
      </c>
      <c r="C150" s="221">
        <f>C11-C23</f>
        <v>-1969.5159559999956</v>
      </c>
      <c r="D150" s="221">
        <f>D11-D23</f>
        <v>-5072.8231470000028</v>
      </c>
      <c r="E150" s="221">
        <f>Таблица22462791012131457454[[#This Row],[Столбец2]]-Таблица22462791012131457454[[#This Row],[Столбец3]]</f>
        <v>-3921.2632199999935</v>
      </c>
      <c r="F150" s="221">
        <f>Таблица22462791012131457454[[#This Row],[Столбец2]]*100/Таблица22462791012131457454[[#This Row],[Столбец3]]-100</f>
        <v>340.51751264178557</v>
      </c>
      <c r="G150" s="221">
        <f t="shared" si="5"/>
        <v>-0.79999994928619222</v>
      </c>
      <c r="H150" s="222">
        <f t="shared" si="6"/>
        <v>-3.0726877699977</v>
      </c>
      <c r="I150" s="212">
        <f>Таблица22462791012131457454[[#This Row],[Столбец3]]*12.7%</f>
        <v>-146.24811072900118</v>
      </c>
      <c r="J150" s="212"/>
      <c r="K150" s="227">
        <f>5498.2-Таблица22462791012131457454[[#This Row],[Столбец4]]</f>
        <v>7467.7159559999955</v>
      </c>
      <c r="L150" s="223"/>
    </row>
    <row r="151" spans="1:12" ht="21" x14ac:dyDescent="0.2">
      <c r="A151" s="192"/>
      <c r="B151" s="132"/>
      <c r="C151" s="132"/>
      <c r="D151" s="199"/>
      <c r="E151" s="132"/>
      <c r="F151" s="135"/>
      <c r="G151" s="135"/>
      <c r="H151" s="193"/>
      <c r="I151" s="201">
        <f>Таблица22462791012131457454[[#This Row],[Столбец3]]*12.7%</f>
        <v>0</v>
      </c>
      <c r="J151" s="201"/>
      <c r="K151" s="223">
        <f>5498.2-Таблица22462791012131457454[[#This Row],[Столбец4]]</f>
        <v>5498.2</v>
      </c>
      <c r="L151" s="223"/>
    </row>
    <row r="152" spans="1:12" ht="42" x14ac:dyDescent="0.2">
      <c r="A152" s="214" t="s">
        <v>92</v>
      </c>
      <c r="B152" s="132"/>
      <c r="C152" s="132"/>
      <c r="D152" s="241">
        <f>D150+D154+D155</f>
        <v>-6013.5161770000032</v>
      </c>
      <c r="E152" s="132"/>
      <c r="F152" s="135"/>
      <c r="G152" s="135"/>
      <c r="H152" s="194"/>
      <c r="I152" s="201">
        <f>Таблица22462791012131457454[[#This Row],[Столбец3]]*12.7%</f>
        <v>0</v>
      </c>
      <c r="J152" s="201"/>
      <c r="K152" s="223">
        <f>5498.2-Таблица22462791012131457454[[#This Row],[Столбец4]]</f>
        <v>5498.2</v>
      </c>
      <c r="L152" s="223"/>
    </row>
    <row r="153" spans="1:12" ht="21" x14ac:dyDescent="0.2">
      <c r="A153" s="215" t="s">
        <v>93</v>
      </c>
      <c r="B153" s="132"/>
      <c r="C153" s="132"/>
      <c r="D153" s="199">
        <f>D152*100/D7</f>
        <v>-3.6424801488848795</v>
      </c>
      <c r="E153" s="132"/>
      <c r="F153" s="135"/>
      <c r="G153" s="135"/>
      <c r="H153" s="194"/>
      <c r="I153" s="201">
        <f>Таблица22462791012131457454[[#This Row],[Столбец3]]*12.7%</f>
        <v>0</v>
      </c>
      <c r="J153" s="201"/>
      <c r="K153" s="223">
        <f>5498.2-Таблица22462791012131457454[[#This Row],[Столбец4]]</f>
        <v>5498.2</v>
      </c>
      <c r="L153" s="223"/>
    </row>
    <row r="154" spans="1:12" ht="21" x14ac:dyDescent="0.2">
      <c r="A154" s="195" t="s">
        <v>68</v>
      </c>
      <c r="B154" s="132"/>
      <c r="C154" s="132"/>
      <c r="D154" s="199">
        <f>-5377.6+D145+D149</f>
        <v>-1261.0930300000005</v>
      </c>
      <c r="E154" s="132"/>
      <c r="F154" s="135"/>
      <c r="G154" s="135"/>
      <c r="H154" s="194"/>
      <c r="I154" s="201">
        <f>Таблица22462791012131457454[[#This Row],[Столбец3]]*12.7%</f>
        <v>0</v>
      </c>
      <c r="J154" s="201"/>
      <c r="K154" s="223">
        <f>5498.2-Таблица22462791012131457454[[#This Row],[Столбец4]]</f>
        <v>5498.2</v>
      </c>
      <c r="L154" s="223"/>
    </row>
    <row r="155" spans="1:12" ht="21" x14ac:dyDescent="0.2">
      <c r="A155" s="196" t="s">
        <v>69</v>
      </c>
      <c r="B155" s="197"/>
      <c r="C155" s="197"/>
      <c r="D155" s="242">
        <f>499.1-D146-D148</f>
        <v>320.40000000000003</v>
      </c>
      <c r="E155" s="197"/>
      <c r="F155" s="158"/>
      <c r="G155" s="158"/>
      <c r="H155" s="198"/>
      <c r="I155" s="201">
        <f>Таблица22462791012131457454[[#This Row],[Столбец3]]*12.7%</f>
        <v>0</v>
      </c>
      <c r="J155" s="201"/>
      <c r="K155" s="223">
        <f>5498.2-Таблица22462791012131457454[[#This Row],[Столбец4]]</f>
        <v>5498.2</v>
      </c>
      <c r="L155" s="223"/>
    </row>
    <row r="156" spans="1:12" ht="21" x14ac:dyDescent="0.2">
      <c r="A156" s="216"/>
      <c r="B156" s="10"/>
      <c r="C156" s="10"/>
    </row>
    <row r="157" spans="1:12" x14ac:dyDescent="0.2">
      <c r="H157" s="217"/>
    </row>
  </sheetData>
  <mergeCells count="4">
    <mergeCell ref="B1:C1"/>
    <mergeCell ref="A3:H3"/>
    <mergeCell ref="E4:F4"/>
    <mergeCell ref="G4:H4"/>
  </mergeCells>
  <pageMargins left="0.49" right="0.3" top="0.46" bottom="0.44" header="0.31496062992125984" footer="0.31496062992125984"/>
  <pageSetup paperSize="9" scale="82" fitToHeight="0" orientation="landscape" r:id="rId1"/>
  <headerFooter>
    <oddFooter>&amp;C&amp;P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163"/>
  <sheetViews>
    <sheetView showGridLines="0" topLeftCell="A3" zoomScale="115" zoomScaleNormal="115" zoomScaleSheetLayoutView="80" workbookViewId="0">
      <pane xSplit="1" ySplit="5" topLeftCell="B149" activePane="bottomRight" state="frozen"/>
      <selection activeCell="A3" sqref="A3"/>
      <selection pane="topRight" activeCell="B3" sqref="B3"/>
      <selection pane="bottomLeft" activeCell="A7" sqref="A7"/>
      <selection pane="bottomRight" activeCell="A145" sqref="A145:XFD145"/>
    </sheetView>
  </sheetViews>
  <sheetFormatPr defaultColWidth="9.140625" defaultRowHeight="18" outlineLevelRow="1" x14ac:dyDescent="0.2"/>
  <cols>
    <col min="1" max="1" width="58" style="10" customWidth="1"/>
    <col min="2" max="2" width="20.42578125" style="140" customWidth="1"/>
    <col min="3" max="3" width="18" style="140" hidden="1" customWidth="1"/>
    <col min="4" max="4" width="20.42578125" style="233" customWidth="1"/>
    <col min="5" max="5" width="14.7109375" style="10" customWidth="1"/>
    <col min="6" max="6" width="11.42578125" style="10" bestFit="1" customWidth="1"/>
    <col min="7" max="8" width="15" style="10" customWidth="1"/>
    <col min="9" max="9" width="3" style="10" hidden="1" customWidth="1"/>
    <col min="10" max="12" width="12.7109375" style="10" hidden="1" customWidth="1"/>
    <col min="13" max="14" width="12.7109375" style="10" customWidth="1"/>
    <col min="15" max="16384" width="9.140625" style="10"/>
  </cols>
  <sheetData>
    <row r="1" spans="1:12" ht="42.75" hidden="1" customHeight="1" x14ac:dyDescent="0.2">
      <c r="B1" s="306"/>
      <c r="C1" s="306"/>
    </row>
    <row r="2" spans="1:12" ht="15.6" hidden="1" customHeight="1" x14ac:dyDescent="0.2">
      <c r="B2" s="254"/>
      <c r="C2" s="254"/>
    </row>
    <row r="3" spans="1:12" ht="27" customHeight="1" x14ac:dyDescent="0.2">
      <c r="B3" s="254"/>
      <c r="C3" s="254"/>
      <c r="G3" s="310" t="s">
        <v>74</v>
      </c>
      <c r="H3" s="310"/>
    </row>
    <row r="4" spans="1:12" ht="52.5" customHeight="1" x14ac:dyDescent="0.2">
      <c r="A4" s="307" t="s">
        <v>99</v>
      </c>
      <c r="B4" s="307"/>
      <c r="C4" s="307"/>
      <c r="D4" s="307"/>
      <c r="E4" s="307"/>
      <c r="F4" s="307"/>
      <c r="G4" s="307"/>
      <c r="H4" s="307"/>
    </row>
    <row r="5" spans="1:12" ht="16.5" customHeight="1" x14ac:dyDescent="0.4">
      <c r="A5" s="200"/>
      <c r="B5" s="200"/>
      <c r="C5" s="200"/>
      <c r="D5" s="234"/>
      <c r="E5" s="308"/>
      <c r="F5" s="308"/>
      <c r="G5" s="309" t="s">
        <v>84</v>
      </c>
      <c r="H5" s="309"/>
    </row>
    <row r="6" spans="1:12" s="202" customFormat="1" ht="36" hidden="1" customHeight="1" x14ac:dyDescent="0.2">
      <c r="A6" s="66"/>
      <c r="B6" s="66"/>
      <c r="C6" s="66"/>
      <c r="D6" s="235"/>
      <c r="E6" s="142"/>
      <c r="F6" s="142"/>
      <c r="G6" s="162"/>
      <c r="H6" s="162" t="s">
        <v>77</v>
      </c>
      <c r="I6" s="201">
        <f>Таблица224627910121314574549[[#This Row],[Столбец3]]*12.7%</f>
        <v>0</v>
      </c>
      <c r="J6" s="201"/>
      <c r="K6" s="223">
        <f>5498.2-Таблица224627910121314574549[[#This Row],[Столбец4]]</f>
        <v>5498.2</v>
      </c>
      <c r="L6" s="223"/>
    </row>
    <row r="7" spans="1:12" ht="63" customHeight="1" x14ac:dyDescent="0.2">
      <c r="A7" s="183" t="s">
        <v>26</v>
      </c>
      <c r="B7" s="184" t="s">
        <v>96</v>
      </c>
      <c r="C7" s="184" t="s">
        <v>97</v>
      </c>
      <c r="D7" s="236" t="s">
        <v>98</v>
      </c>
      <c r="E7" s="184" t="s">
        <v>100</v>
      </c>
      <c r="F7" s="184" t="s">
        <v>50</v>
      </c>
      <c r="G7" s="184" t="s">
        <v>101</v>
      </c>
      <c r="H7" s="185" t="s">
        <v>83</v>
      </c>
      <c r="I7" s="201" t="e">
        <f>Таблица224627910121314574549[[#This Row],[Столбец3]]*12.7%</f>
        <v>#VALUE!</v>
      </c>
      <c r="J7" s="201"/>
      <c r="K7" s="223" t="e">
        <f>5498.2-Таблица224627910121314574549[[#This Row],[Столбец4]]</f>
        <v>#VALUE!</v>
      </c>
      <c r="L7" s="223"/>
    </row>
    <row r="8" spans="1:12" s="204" customFormat="1" ht="42.75" customHeight="1" x14ac:dyDescent="0.2">
      <c r="A8" s="143" t="s">
        <v>18</v>
      </c>
      <c r="B8" s="144">
        <v>143945</v>
      </c>
      <c r="C8" s="144">
        <v>165094</v>
      </c>
      <c r="D8" s="237">
        <v>165094</v>
      </c>
      <c r="E8" s="144">
        <f>Таблица224627910121314574549[[#This Row],[Столбец2]]-Таблица224627910121314574549[[#This Row],[Столбец3]]</f>
        <v>21149</v>
      </c>
      <c r="F8" s="135">
        <f>Таблица224627910121314574549[[#This Row],[Столбец2]]*100/Таблица224627910121314574549[[#This Row],[Столбец3]]-100</f>
        <v>14.692417242696862</v>
      </c>
      <c r="G8" s="145" t="s">
        <v>16</v>
      </c>
      <c r="H8" s="146" t="s">
        <v>16</v>
      </c>
      <c r="I8" s="203">
        <f>Таблица224627910121314574549[[#This Row],[Столбец3]]*12.7%</f>
        <v>18281.014999999999</v>
      </c>
      <c r="J8" s="203"/>
      <c r="K8" s="224">
        <f>5498.2-Таблица224627910121314574549[[#This Row],[Столбец4]]</f>
        <v>-159595.79999999999</v>
      </c>
      <c r="L8" s="224"/>
    </row>
    <row r="9" spans="1:12" s="133" customFormat="1" ht="21" x14ac:dyDescent="0.2">
      <c r="A9" s="77" t="s">
        <v>15</v>
      </c>
      <c r="B9" s="134">
        <v>13.1</v>
      </c>
      <c r="C9" s="134">
        <f>C8/B8*100-100</f>
        <v>14.692417242696848</v>
      </c>
      <c r="D9" s="164">
        <f>D8/B8*100-100</f>
        <v>14.692417242696848</v>
      </c>
      <c r="E9" s="134" t="s">
        <v>16</v>
      </c>
      <c r="F9" s="134" t="s">
        <v>16</v>
      </c>
      <c r="G9" s="79" t="s">
        <v>16</v>
      </c>
      <c r="H9" s="80" t="s">
        <v>16</v>
      </c>
      <c r="I9" s="205">
        <f>Таблица224627910121314574549[[#This Row],[Столбец3]]*12.7%</f>
        <v>1.6637</v>
      </c>
      <c r="J9" s="205"/>
      <c r="K9" s="225">
        <f>5498.2-Таблица224627910121314574549[[#This Row],[Столбец4]]</f>
        <v>5483.5075827573028</v>
      </c>
      <c r="L9" s="225"/>
    </row>
    <row r="10" spans="1:12" s="133" customFormat="1" ht="21" x14ac:dyDescent="0.2">
      <c r="A10" s="77" t="s">
        <v>0</v>
      </c>
      <c r="B10" s="134">
        <v>8</v>
      </c>
      <c r="C10" s="134">
        <v>8.3000000000000007</v>
      </c>
      <c r="D10" s="164">
        <v>8.3000000000000007</v>
      </c>
      <c r="E10" s="134" t="s">
        <v>16</v>
      </c>
      <c r="F10" s="134" t="s">
        <v>16</v>
      </c>
      <c r="G10" s="79" t="s">
        <v>16</v>
      </c>
      <c r="H10" s="80" t="s">
        <v>16</v>
      </c>
      <c r="I10" s="205">
        <f>Таблица224627910121314574549[[#This Row],[Столбец3]]*12.7%</f>
        <v>1.016</v>
      </c>
      <c r="J10" s="205"/>
      <c r="K10" s="225">
        <f>5498.2-Таблица224627910121314574549[[#This Row],[Столбец4]]</f>
        <v>5489.9</v>
      </c>
      <c r="L10" s="225"/>
    </row>
    <row r="11" spans="1:12" s="136" customFormat="1" ht="21" x14ac:dyDescent="0.2">
      <c r="A11" s="77" t="s">
        <v>9</v>
      </c>
      <c r="B11" s="134">
        <v>2.6</v>
      </c>
      <c r="C11" s="134">
        <v>4.5999999999999996</v>
      </c>
      <c r="D11" s="164">
        <v>4.5999999999999996</v>
      </c>
      <c r="E11" s="134" t="s">
        <v>16</v>
      </c>
      <c r="F11" s="134" t="s">
        <v>16</v>
      </c>
      <c r="G11" s="79" t="s">
        <v>16</v>
      </c>
      <c r="H11" s="80" t="s">
        <v>16</v>
      </c>
      <c r="I11" s="205">
        <f>Таблица224627910121314574549[[#This Row],[Столбец3]]*12.7%</f>
        <v>0.33019999999999999</v>
      </c>
      <c r="J11" s="205"/>
      <c r="K11" s="225">
        <f>5498.2-Таблица224627910121314574549[[#This Row],[Столбец4]]</f>
        <v>5493.5999999999995</v>
      </c>
      <c r="L11" s="225"/>
    </row>
    <row r="12" spans="1:12" s="133" customFormat="1" ht="42.75" customHeight="1" x14ac:dyDescent="0.2">
      <c r="A12" s="120" t="s">
        <v>17</v>
      </c>
      <c r="B12" s="218">
        <f>B16+B20+B23</f>
        <v>42956.462999999996</v>
      </c>
      <c r="C12" s="218">
        <f>C16+C20+C23</f>
        <v>45660.274414</v>
      </c>
      <c r="D12" s="238">
        <f>D16+D20+D23</f>
        <v>47229.902200000004</v>
      </c>
      <c r="E12" s="218">
        <f>Таблица224627910121314574549[[#This Row],[Столбец2]]-Таблица224627910121314574549[[#This Row],[Столбец3]]</f>
        <v>4273.439200000008</v>
      </c>
      <c r="F12" s="218">
        <f>Таблица224627910121314574549[[#This Row],[Столбец2]]*100/Таблица224627910121314574549[[#This Row],[Столбец3]]-100</f>
        <v>9.9483032390260178</v>
      </c>
      <c r="G12" s="218">
        <f>B12/$B$8*100</f>
        <v>29.842275174545829</v>
      </c>
      <c r="H12" s="219">
        <f>D12/$D$8*100</f>
        <v>28.607885325935527</v>
      </c>
      <c r="I12" s="205">
        <f>Таблица224627910121314574549[[#This Row],[Столбец3]]*12.7%</f>
        <v>5455.4708009999995</v>
      </c>
      <c r="J12" s="205"/>
      <c r="K12" s="226">
        <f>5498.2-Таблица224627910121314574549[[#This Row],[Столбец4]]</f>
        <v>-40162.074414000002</v>
      </c>
      <c r="L12" s="225"/>
    </row>
    <row r="13" spans="1:12" s="133" customFormat="1" ht="42.75" customHeight="1" x14ac:dyDescent="0.2">
      <c r="A13" s="143" t="s">
        <v>49</v>
      </c>
      <c r="B13" s="147">
        <f>B14+B15</f>
        <v>28169</v>
      </c>
      <c r="C13" s="147">
        <f>C14+C15</f>
        <v>32684.3</v>
      </c>
      <c r="D13" s="239">
        <f>D14+D15</f>
        <v>32684.3</v>
      </c>
      <c r="E13" s="147">
        <f>Таблица224627910121314574549[[#This Row],[Столбец2]]-Таблица224627910121314574549[[#This Row],[Столбец3]]</f>
        <v>4515.2999999999993</v>
      </c>
      <c r="F13" s="147">
        <f>Таблица224627910121314574549[[#This Row],[Столбец2]]*100/Таблица224627910121314574549[[#This Row],[Столбец3]]-100</f>
        <v>16.029323014661514</v>
      </c>
      <c r="G13" s="147">
        <f t="shared" ref="G13:G83" si="0">B13/$B$8*100</f>
        <v>19.569279933307861</v>
      </c>
      <c r="H13" s="187">
        <f t="shared" ref="H13:H83" si="1">D13/$D$8*100</f>
        <v>19.797388154627061</v>
      </c>
      <c r="I13" s="206">
        <f>Таблица224627910121314574549[[#This Row],[Столбец3]]*12.7%</f>
        <v>3577.4630000000002</v>
      </c>
      <c r="J13" s="205"/>
      <c r="K13" s="225">
        <f>5498.2-Таблица224627910121314574549[[#This Row],[Столбец4]]</f>
        <v>-27186.1</v>
      </c>
      <c r="L13" s="225"/>
    </row>
    <row r="14" spans="1:12" s="133" customFormat="1" ht="25.5" customHeight="1" x14ac:dyDescent="0.2">
      <c r="A14" s="148" t="s">
        <v>46</v>
      </c>
      <c r="B14" s="134">
        <v>26348.085999999999</v>
      </c>
      <c r="C14" s="134">
        <v>30772.5</v>
      </c>
      <c r="D14" s="164">
        <v>30772.5</v>
      </c>
      <c r="E14" s="134">
        <f>Таблица224627910121314574549[[#This Row],[Столбец2]]-Таблица224627910121314574549[[#This Row],[Столбец3]]</f>
        <v>4424.4140000000007</v>
      </c>
      <c r="F14" s="134">
        <f>Таблица224627910121314574549[[#This Row],[Столбец2]]*100/Таблица224627910121314574549[[#This Row],[Столбец3]]-100</f>
        <v>16.792164713596279</v>
      </c>
      <c r="G14" s="134">
        <f>B14/$B$8*100</f>
        <v>18.304273159887458</v>
      </c>
      <c r="H14" s="188">
        <f t="shared" si="1"/>
        <v>18.639381201012757</v>
      </c>
      <c r="I14" s="205">
        <f>Таблица224627910121314574549[[#This Row],[Столбец3]]*12.7%</f>
        <v>3346.2069219999998</v>
      </c>
      <c r="J14" s="205"/>
      <c r="K14" s="225">
        <f>5498.2-Таблица224627910121314574549[[#This Row],[Столбец4]]</f>
        <v>-25274.3</v>
      </c>
      <c r="L14" s="225"/>
    </row>
    <row r="15" spans="1:12" s="133" customFormat="1" ht="25.5" customHeight="1" x14ac:dyDescent="0.2">
      <c r="A15" s="148" t="s">
        <v>45</v>
      </c>
      <c r="B15" s="134">
        <v>1820.914</v>
      </c>
      <c r="C15" s="134">
        <v>1911.8</v>
      </c>
      <c r="D15" s="164">
        <v>1911.8</v>
      </c>
      <c r="E15" s="134">
        <f>Таблица224627910121314574549[[#This Row],[Столбец2]]-Таблица224627910121314574549[[#This Row],[Столбец3]]</f>
        <v>90.885999999999967</v>
      </c>
      <c r="F15" s="134">
        <f>Таблица224627910121314574549[[#This Row],[Столбец2]]*100/Таблица224627910121314574549[[#This Row],[Столбец3]]-100</f>
        <v>4.9912296791611226</v>
      </c>
      <c r="G15" s="134">
        <f t="shared" si="0"/>
        <v>1.2650067734204036</v>
      </c>
      <c r="H15" s="188">
        <f t="shared" si="1"/>
        <v>1.1580069536143045</v>
      </c>
      <c r="I15" s="205">
        <f>Таблица224627910121314574549[[#This Row],[Столбец3]]*12.7%</f>
        <v>231.256078</v>
      </c>
      <c r="J15" s="205"/>
      <c r="K15" s="225">
        <f>5498.2-Таблица224627910121314574549[[#This Row],[Столбец4]]</f>
        <v>3586.3999999999996</v>
      </c>
      <c r="L15" s="225"/>
    </row>
    <row r="16" spans="1:12" s="133" customFormat="1" ht="42.75" customHeight="1" x14ac:dyDescent="0.2">
      <c r="A16" s="143" t="s">
        <v>48</v>
      </c>
      <c r="B16" s="147">
        <f>B17+B18+B19</f>
        <v>28961</v>
      </c>
      <c r="C16" s="147">
        <f>C17+C18+C19</f>
        <v>33876.300000000003</v>
      </c>
      <c r="D16" s="239">
        <f>D17+D18+D19</f>
        <v>33876.300000000003</v>
      </c>
      <c r="E16" s="147">
        <f>Таблица224627910121314574549[[#This Row],[Столбец2]]-Таблица224627910121314574549[[#This Row],[Столбец3]]</f>
        <v>4915.3000000000029</v>
      </c>
      <c r="F16" s="147">
        <f>Таблица224627910121314574549[[#This Row],[Столбец2]]*100/Таблица224627910121314574549[[#This Row],[Столбец3]]-100</f>
        <v>16.972134940091863</v>
      </c>
      <c r="G16" s="147">
        <f t="shared" si="0"/>
        <v>20.119490083017819</v>
      </c>
      <c r="H16" s="187">
        <f t="shared" si="1"/>
        <v>20.5194010684822</v>
      </c>
      <c r="I16" s="205">
        <f>Таблица224627910121314574549[[#This Row],[Столбец3]]*12.7%</f>
        <v>3678.047</v>
      </c>
      <c r="J16" s="205"/>
      <c r="K16" s="225">
        <f>5498.2-Таблица224627910121314574549[[#This Row],[Столбец4]]</f>
        <v>-28378.100000000002</v>
      </c>
      <c r="L16" s="225"/>
    </row>
    <row r="17" spans="1:12" s="133" customFormat="1" ht="25.5" customHeight="1" x14ac:dyDescent="0.2">
      <c r="A17" s="148" t="s">
        <v>62</v>
      </c>
      <c r="B17" s="134">
        <v>26348.085999999999</v>
      </c>
      <c r="C17" s="134">
        <f>C14</f>
        <v>30772.5</v>
      </c>
      <c r="D17" s="164">
        <f>D14</f>
        <v>30772.5</v>
      </c>
      <c r="E17" s="134">
        <f>Таблица224627910121314574549[[#This Row],[Столбец2]]-Таблица224627910121314574549[[#This Row],[Столбец3]]</f>
        <v>4424.4140000000007</v>
      </c>
      <c r="F17" s="134">
        <f>Таблица224627910121314574549[[#This Row],[Столбец2]]*100/Таблица224627910121314574549[[#This Row],[Столбец3]]-100</f>
        <v>16.792164713596279</v>
      </c>
      <c r="G17" s="134">
        <f t="shared" si="0"/>
        <v>18.304273159887458</v>
      </c>
      <c r="H17" s="188">
        <f t="shared" si="1"/>
        <v>18.639381201012757</v>
      </c>
      <c r="I17" s="205">
        <f>Таблица224627910121314574549[[#This Row],[Столбец3]]*12.7%</f>
        <v>3346.2069219999998</v>
      </c>
      <c r="J17" s="205"/>
      <c r="K17" s="225">
        <f>5498.2-Таблица224627910121314574549[[#This Row],[Столбец4]]</f>
        <v>-25274.3</v>
      </c>
      <c r="L17" s="225"/>
    </row>
    <row r="18" spans="1:12" s="133" customFormat="1" ht="25.5" customHeight="1" x14ac:dyDescent="0.2">
      <c r="A18" s="148" t="s">
        <v>45</v>
      </c>
      <c r="B18" s="134">
        <v>1820.914</v>
      </c>
      <c r="C18" s="134">
        <f>C15</f>
        <v>1911.8</v>
      </c>
      <c r="D18" s="164">
        <f>D15</f>
        <v>1911.8</v>
      </c>
      <c r="E18" s="134">
        <f>Таблица224627910121314574549[[#This Row],[Столбец2]]-Таблица224627910121314574549[[#This Row],[Столбец3]]</f>
        <v>90.885999999999967</v>
      </c>
      <c r="F18" s="134">
        <f>Таблица224627910121314574549[[#This Row],[Столбец2]]*100/Таблица224627910121314574549[[#This Row],[Столбец3]]-100</f>
        <v>4.9912296791611226</v>
      </c>
      <c r="G18" s="134">
        <f t="shared" si="0"/>
        <v>1.2650067734204036</v>
      </c>
      <c r="H18" s="188">
        <f t="shared" si="1"/>
        <v>1.1580069536143045</v>
      </c>
      <c r="I18" s="205">
        <f>Таблица224627910121314574549[[#This Row],[Столбец3]]*12.7%</f>
        <v>231.256078</v>
      </c>
      <c r="J18" s="205"/>
      <c r="K18" s="225">
        <f>5498.2-Таблица224627910121314574549[[#This Row],[Столбец4]]</f>
        <v>3586.3999999999996</v>
      </c>
      <c r="L18" s="225"/>
    </row>
    <row r="19" spans="1:12" s="133" customFormat="1" ht="25.5" customHeight="1" x14ac:dyDescent="0.2">
      <c r="A19" s="148" t="s">
        <v>25</v>
      </c>
      <c r="B19" s="134">
        <v>792</v>
      </c>
      <c r="C19" s="134">
        <v>1192</v>
      </c>
      <c r="D19" s="164">
        <v>1192</v>
      </c>
      <c r="E19" s="134">
        <f>Таблица224627910121314574549[[#This Row],[Столбец2]]-Таблица224627910121314574549[[#This Row],[Столбец3]]</f>
        <v>400</v>
      </c>
      <c r="F19" s="134">
        <f>Таблица224627910121314574549[[#This Row],[Столбец2]]*100/Таблица224627910121314574549[[#This Row],[Столбец3]]-100</f>
        <v>50.505050505050491</v>
      </c>
      <c r="G19" s="134">
        <f t="shared" si="0"/>
        <v>0.55021014970995874</v>
      </c>
      <c r="H19" s="188">
        <f t="shared" si="1"/>
        <v>0.722012913855137</v>
      </c>
      <c r="I19" s="205">
        <f>Таблица224627910121314574549[[#This Row],[Столбец3]]*12.7%</f>
        <v>100.584</v>
      </c>
      <c r="J19" s="205"/>
      <c r="K19" s="225">
        <f>5498.2-Таблица224627910121314574549[[#This Row],[Столбец4]]</f>
        <v>4306.2</v>
      </c>
      <c r="L19" s="225"/>
    </row>
    <row r="20" spans="1:12" s="133" customFormat="1" ht="42.75" customHeight="1" x14ac:dyDescent="0.2">
      <c r="A20" s="143" t="s">
        <v>104</v>
      </c>
      <c r="B20" s="147">
        <f>B21+B22</f>
        <v>11410.431</v>
      </c>
      <c r="C20" s="147">
        <f>C21+C22</f>
        <v>9149.9650000000001</v>
      </c>
      <c r="D20" s="239">
        <f>D21+D22</f>
        <v>10687.844999999999</v>
      </c>
      <c r="E20" s="147">
        <f>Таблица224627910121314574549[[#This Row],[Столбец2]]-Таблица224627910121314574549[[#This Row],[Столбец3]]</f>
        <v>-722.58600000000115</v>
      </c>
      <c r="F20" s="147">
        <f>Таблица224627910121314574549[[#This Row],[Столбец2]]*100/Таблица224627910121314574549[[#This Row],[Столбец3]]-100</f>
        <v>-6.3326792826668878</v>
      </c>
      <c r="G20" s="147">
        <f t="shared" si="0"/>
        <v>7.9269380666226681</v>
      </c>
      <c r="H20" s="187">
        <f t="shared" si="1"/>
        <v>6.4737937175185039</v>
      </c>
      <c r="I20" s="205">
        <f>Таблица224627910121314574549[[#This Row],[Столбец3]]*12.7%</f>
        <v>1449.1247370000001</v>
      </c>
      <c r="J20" s="205"/>
      <c r="K20" s="225">
        <f>5498.2-Таблица224627910121314574549[[#This Row],[Столбец4]]</f>
        <v>-3651.7650000000003</v>
      </c>
      <c r="L20" s="225"/>
    </row>
    <row r="21" spans="1:12" s="136" customFormat="1" ht="27.75" customHeight="1" x14ac:dyDescent="0.2">
      <c r="A21" s="148" t="s">
        <v>21</v>
      </c>
      <c r="B21" s="134">
        <v>6767.2510000000002</v>
      </c>
      <c r="C21" s="134">
        <v>4949.2879999999996</v>
      </c>
      <c r="D21" s="164">
        <v>6415.5919999999996</v>
      </c>
      <c r="E21" s="134">
        <f>Таблица224627910121314574549[[#This Row],[Столбец2]]-Таблица224627910121314574549[[#This Row],[Столбец3]]</f>
        <v>-351.65900000000056</v>
      </c>
      <c r="F21" s="134">
        <f>Таблица224627910121314574549[[#This Row],[Столбец2]]*100/Таблица224627910121314574549[[#This Row],[Столбец3]]-100</f>
        <v>-5.1964822939181801</v>
      </c>
      <c r="G21" s="134">
        <f t="shared" si="0"/>
        <v>4.7012754871652369</v>
      </c>
      <c r="H21" s="188">
        <f t="shared" si="1"/>
        <v>3.8860237198202232</v>
      </c>
      <c r="I21" s="205">
        <f>Таблица224627910121314574549[[#This Row],[Столбец3]]*12.7%</f>
        <v>859.440877</v>
      </c>
      <c r="J21" s="205"/>
      <c r="K21" s="225">
        <f>5498.2-Таблица224627910121314574549[[#This Row],[Столбец4]]</f>
        <v>548.91200000000026</v>
      </c>
      <c r="L21" s="225"/>
    </row>
    <row r="22" spans="1:12" s="133" customFormat="1" ht="27.75" customHeight="1" x14ac:dyDescent="0.2">
      <c r="A22" s="148" t="s">
        <v>22</v>
      </c>
      <c r="B22" s="134">
        <v>4643.18</v>
      </c>
      <c r="C22" s="134">
        <v>4200.6769999999997</v>
      </c>
      <c r="D22" s="164">
        <v>4272.2529999999997</v>
      </c>
      <c r="E22" s="134">
        <f>Таблица224627910121314574549[[#This Row],[Столбец2]]-Таблица224627910121314574549[[#This Row],[Столбец3]]</f>
        <v>-370.92700000000059</v>
      </c>
      <c r="F22" s="134">
        <f>Таблица224627910121314574549[[#This Row],[Столбец2]]*100/Таблица224627910121314574549[[#This Row],[Столбец3]]-100</f>
        <v>-7.9886414052438255</v>
      </c>
      <c r="G22" s="134">
        <f t="shared" si="0"/>
        <v>3.2256625794574321</v>
      </c>
      <c r="H22" s="188">
        <f t="shared" si="1"/>
        <v>2.5877699976982806</v>
      </c>
      <c r="I22" s="205">
        <f>Таблица224627910121314574549[[#This Row],[Столбец3]]*12.7%</f>
        <v>589.6838600000001</v>
      </c>
      <c r="J22" s="205"/>
      <c r="K22" s="225">
        <f>5498.2-Таблица224627910121314574549[[#This Row],[Столбец4]]</f>
        <v>1297.5230000000001</v>
      </c>
      <c r="L22" s="225"/>
    </row>
    <row r="23" spans="1:12" s="133" customFormat="1" ht="42" x14ac:dyDescent="0.2">
      <c r="A23" s="143" t="s">
        <v>23</v>
      </c>
      <c r="B23" s="135">
        <v>2585.0320000000002</v>
      </c>
      <c r="C23" s="135">
        <v>2634.0094140000001</v>
      </c>
      <c r="D23" s="240">
        <v>2665.7572</v>
      </c>
      <c r="E23" s="86">
        <f>Таблица224627910121314574549[[#This Row],[Столбец2]]-Таблица224627910121314574549[[#This Row],[Столбец3]]</f>
        <v>80.725199999999859</v>
      </c>
      <c r="F23" s="135">
        <f>Таблица224627910121314574549[[#This Row],[Столбец2]]*100/Таблица224627910121314574549[[#This Row],[Столбец3]]-100</f>
        <v>3.1227930640703647</v>
      </c>
      <c r="G23" s="135">
        <f t="shared" si="0"/>
        <v>1.795847024905346</v>
      </c>
      <c r="H23" s="186">
        <f t="shared" si="1"/>
        <v>1.6146905399348248</v>
      </c>
      <c r="I23" s="207">
        <f>Таблица224627910121314574549[[#This Row],[Столбец3]]*12.7%</f>
        <v>328.29906400000004</v>
      </c>
      <c r="J23" s="205"/>
      <c r="K23" s="225">
        <f>5498.2-Таблица224627910121314574549[[#This Row],[Столбец4]]</f>
        <v>2864.1905859999997</v>
      </c>
      <c r="L23" s="225"/>
    </row>
    <row r="24" spans="1:12" s="136" customFormat="1" ht="48.75" customHeight="1" x14ac:dyDescent="0.2">
      <c r="A24" s="120" t="s">
        <v>51</v>
      </c>
      <c r="B24" s="218">
        <f>B25+B30+B33</f>
        <v>44108.022927000005</v>
      </c>
      <c r="C24" s="218">
        <f>C25+C30+C33</f>
        <v>47629.790369999995</v>
      </c>
      <c r="D24" s="218">
        <f>D25+D30+D33</f>
        <v>52302.725347000007</v>
      </c>
      <c r="E24" s="218">
        <f>E25+E30+E33</f>
        <v>8194.7024199999996</v>
      </c>
      <c r="F24" s="218">
        <f>Таблица224627910121314574549[[#This Row],[Столбец2]]*100/Таблица224627910121314574549[[#This Row],[Столбец3]]-100</f>
        <v>18.57871170866683</v>
      </c>
      <c r="G24" s="218">
        <f t="shared" si="0"/>
        <v>30.642275123832025</v>
      </c>
      <c r="H24" s="219">
        <f t="shared" si="1"/>
        <v>31.68057309593323</v>
      </c>
      <c r="I24" s="205">
        <f>Таблица224627910121314574549[[#This Row],[Столбец3]]*12.7%</f>
        <v>5601.7189117290009</v>
      </c>
      <c r="J24" s="207"/>
      <c r="K24" s="226">
        <f>5498.2-Таблица224627910121314574549[[#This Row],[Столбец4]]</f>
        <v>-42131.590369999998</v>
      </c>
      <c r="L24" s="225"/>
    </row>
    <row r="25" spans="1:12" s="133" customFormat="1" ht="21" x14ac:dyDescent="0.2">
      <c r="A25" s="150" t="s">
        <v>27</v>
      </c>
      <c r="B25" s="135">
        <f t="shared" ref="B25:D26" si="2">B35+B43+B51+B91+B144</f>
        <v>30281.296280000002</v>
      </c>
      <c r="C25" s="86">
        <f t="shared" si="2"/>
        <v>36014.548136999998</v>
      </c>
      <c r="D25" s="240">
        <f t="shared" si="2"/>
        <v>39116.885258000002</v>
      </c>
      <c r="E25" s="86">
        <f>Таблица224627910121314574549[[#This Row],[Столбец2]]-Таблица224627910121314574549[[#This Row],[Столбец3]]</f>
        <v>8835.5889779999998</v>
      </c>
      <c r="F25" s="135">
        <f>Таблица224627910121314574549[[#This Row],[Столбец2]]*100/Таблица224627910121314574549[[#This Row],[Столбец3]]-100</f>
        <v>29.178371019194685</v>
      </c>
      <c r="G25" s="135">
        <f t="shared" si="0"/>
        <v>21.036712827816181</v>
      </c>
      <c r="H25" s="186">
        <f t="shared" si="1"/>
        <v>23.693704954753052</v>
      </c>
      <c r="I25" s="205">
        <f>Таблица224627910121314574549[[#This Row],[Столбец3]]*12.7%</f>
        <v>3845.7246275600005</v>
      </c>
      <c r="J25" s="205"/>
      <c r="K25" s="226">
        <f>5498.2-Таблица224627910121314574549[[#This Row],[Столбец4]]</f>
        <v>-30516.348136999997</v>
      </c>
      <c r="L25" s="225"/>
    </row>
    <row r="26" spans="1:12" s="133" customFormat="1" ht="21" x14ac:dyDescent="0.2">
      <c r="A26" s="149" t="s">
        <v>33</v>
      </c>
      <c r="B26" s="134">
        <f t="shared" si="2"/>
        <v>9564.2898999999998</v>
      </c>
      <c r="C26" s="91">
        <f t="shared" si="2"/>
        <v>13131.249104</v>
      </c>
      <c r="D26" s="245">
        <f t="shared" si="2"/>
        <v>13207.278085000002</v>
      </c>
      <c r="E26" s="91">
        <f>Таблица224627910121314574549[[#This Row],[Столбец2]]-Таблица224627910121314574549[[#This Row],[Столбец3]]</f>
        <v>3642.988185000002</v>
      </c>
      <c r="F26" s="134">
        <f>Таблица224627910121314574549[[#This Row],[Столбец2]]*100/Таблица224627910121314574549[[#This Row],[Столбец3]]-100</f>
        <v>38.08947891677775</v>
      </c>
      <c r="G26" s="134">
        <f t="shared" si="0"/>
        <v>6.6444057799854113</v>
      </c>
      <c r="H26" s="188">
        <f t="shared" si="1"/>
        <v>7.9998534683271352</v>
      </c>
      <c r="I26" s="205">
        <f>Таблица224627910121314574549[[#This Row],[Столбец3]]*12.7%</f>
        <v>1214.6648173000001</v>
      </c>
      <c r="J26" s="205"/>
      <c r="K26" s="225">
        <f>5498.2-Таблица224627910121314574549[[#This Row],[Столбец4]]</f>
        <v>-7633.0491040000006</v>
      </c>
      <c r="L26" s="225"/>
    </row>
    <row r="27" spans="1:12" s="133" customFormat="1" ht="21" x14ac:dyDescent="0.2">
      <c r="A27" s="149" t="s">
        <v>34</v>
      </c>
      <c r="B27" s="134">
        <f>B37+B45+B53+B93</f>
        <v>4905.2889999999998</v>
      </c>
      <c r="C27" s="91">
        <f>C37+C45+C53+C93</f>
        <v>4816.4850000000006</v>
      </c>
      <c r="D27" s="245">
        <f>D37+D45+D53+D93</f>
        <v>5545.5913</v>
      </c>
      <c r="E27" s="91">
        <f>Таблица224627910121314574549[[#This Row],[Столбец2]]-Таблица224627910121314574549[[#This Row],[Столбец3]]</f>
        <v>640.30230000000029</v>
      </c>
      <c r="F27" s="134">
        <f>Таблица224627910121314574549[[#This Row],[Столбец2]]*100/Таблица224627910121314574549[[#This Row],[Столбец3]]-100</f>
        <v>13.053304300725202</v>
      </c>
      <c r="G27" s="134">
        <f t="shared" si="0"/>
        <v>3.4077522664906734</v>
      </c>
      <c r="H27" s="188">
        <f t="shared" si="1"/>
        <v>3.3590507831901824</v>
      </c>
      <c r="I27" s="205">
        <f>Таблица224627910121314574549[[#This Row],[Столбец3]]*12.7%</f>
        <v>622.97170299999993</v>
      </c>
      <c r="J27" s="205"/>
      <c r="K27" s="225">
        <f>5498.2-Таблица224627910121314574549[[#This Row],[Столбец4]]</f>
        <v>681.71499999999924</v>
      </c>
      <c r="L27" s="225"/>
    </row>
    <row r="28" spans="1:12" s="133" customFormat="1" ht="21" outlineLevel="1" x14ac:dyDescent="0.2">
      <c r="A28" s="149" t="s">
        <v>35</v>
      </c>
      <c r="B28" s="132">
        <f>B38+B46+B54+B94+B144-B145</f>
        <v>15463.920248999999</v>
      </c>
      <c r="C28" s="96">
        <f>C38+C46+C54+C94+C144-C145</f>
        <v>17701.959129000003</v>
      </c>
      <c r="D28" s="243">
        <f>D38+D46+D54+D94+D144-D145</f>
        <v>19965.022814999997</v>
      </c>
      <c r="E28" s="96">
        <f>Таблица224627910121314574549[[#This Row],[Столбец2]]-Таблица224627910121314574549[[#This Row],[Столбец3]]</f>
        <v>4501.1025659999978</v>
      </c>
      <c r="F28" s="132">
        <f>Таблица224627910121314574549[[#This Row],[Столбец2]]*100/Таблица224627910121314574549[[#This Row],[Столбец3]]-100</f>
        <v>29.10712480097709</v>
      </c>
      <c r="G28" s="132">
        <f t="shared" si="0"/>
        <v>10.742936711243877</v>
      </c>
      <c r="H28" s="189">
        <f t="shared" si="1"/>
        <v>12.093124410941643</v>
      </c>
      <c r="I28" s="205">
        <f>Таблица224627910121314574549[[#This Row],[Столбец3]]*12.7%</f>
        <v>1963.9178716229999</v>
      </c>
      <c r="J28" s="205"/>
      <c r="K28" s="225">
        <f>5498.2-Таблица224627910121314574549[[#This Row],[Столбец4]]</f>
        <v>-12203.759129000002</v>
      </c>
      <c r="L28" s="225"/>
    </row>
    <row r="29" spans="1:12" s="133" customFormat="1" ht="21" outlineLevel="1" x14ac:dyDescent="0.2">
      <c r="A29" s="229" t="s">
        <v>102</v>
      </c>
      <c r="B29" s="132">
        <f t="shared" ref="B29:D30" si="3">B39+B47+B55+B95</f>
        <v>347.79713100000004</v>
      </c>
      <c r="C29" s="96">
        <f t="shared" si="3"/>
        <v>364.85490399999998</v>
      </c>
      <c r="D29" s="243">
        <f t="shared" si="3"/>
        <v>398.99305800000002</v>
      </c>
      <c r="E29" s="96">
        <f>Таблица224627910121314574549[[#This Row],[Столбец2]]-Таблица224627910121314574549[[#This Row],[Столбец3]]</f>
        <v>51.195926999999983</v>
      </c>
      <c r="F29" s="132">
        <f>Таблица224627910121314574549[[#This Row],[Столбец2]]*100/Таблица224627910121314574549[[#This Row],[Столбец3]]-100</f>
        <v>14.720054433111457</v>
      </c>
      <c r="G29" s="132">
        <f t="shared" si="0"/>
        <v>0.24161807009621733</v>
      </c>
      <c r="H29" s="189">
        <f t="shared" si="1"/>
        <v>0.24167629229408702</v>
      </c>
      <c r="I29" s="232">
        <f>Таблица224627910121314574549[[#This Row],[Столбец3]]*12.7%</f>
        <v>44.170235637000005</v>
      </c>
      <c r="J29" s="205"/>
      <c r="K29" s="232">
        <f>5498.2-Таблица224627910121314574549[[#This Row],[Столбец4]]</f>
        <v>5133.345096</v>
      </c>
      <c r="L29" s="225"/>
    </row>
    <row r="30" spans="1:12" s="133" customFormat="1" ht="42" x14ac:dyDescent="0.2">
      <c r="A30" s="151" t="s">
        <v>103</v>
      </c>
      <c r="B30" s="135">
        <f t="shared" si="3"/>
        <v>11410.431146000001</v>
      </c>
      <c r="C30" s="86">
        <f t="shared" si="3"/>
        <v>9148.97091</v>
      </c>
      <c r="D30" s="240">
        <f t="shared" si="3"/>
        <v>10687.81846</v>
      </c>
      <c r="E30" s="86">
        <f>Таблица224627910121314574549[[#This Row],[Столбец2]]-Таблица224627910121314574549[[#This Row],[Столбец3]]</f>
        <v>-722.61268600000039</v>
      </c>
      <c r="F30" s="135">
        <f>Таблица224627910121314574549[[#This Row],[Столбец2]]*100/Таблица224627910121314574549[[#This Row],[Столбец3]]-100</f>
        <v>-6.332913075360139</v>
      </c>
      <c r="G30" s="135">
        <f t="shared" si="0"/>
        <v>7.9269381680502971</v>
      </c>
      <c r="H30" s="186">
        <f t="shared" si="1"/>
        <v>6.473777641828292</v>
      </c>
      <c r="I30" s="208">
        <f>Таблица224627910121314574549[[#This Row],[Столбец3]]*12.7%</f>
        <v>1449.1247555420002</v>
      </c>
      <c r="J30" s="205"/>
      <c r="K30" s="226">
        <f>5498.2-Таблица224627910121314574549[[#This Row],[Столбец4]]</f>
        <v>-3650.7709100000002</v>
      </c>
      <c r="L30" s="225"/>
    </row>
    <row r="31" spans="1:12" s="133" customFormat="1" ht="21" x14ac:dyDescent="0.2">
      <c r="A31" s="149" t="s">
        <v>36</v>
      </c>
      <c r="B31" s="134">
        <v>6701.9</v>
      </c>
      <c r="C31" s="91">
        <v>4949.2879999999996</v>
      </c>
      <c r="D31" s="245">
        <v>6415.5919999999996</v>
      </c>
      <c r="E31" s="91">
        <f>Таблица224627910121314574549[[#This Row],[Столбец2]]-Таблица224627910121314574549[[#This Row],[Столбец3]]</f>
        <v>-286.30799999999999</v>
      </c>
      <c r="F31" s="134">
        <f>Таблица224627910121314574549[[#This Row],[Столбец2]]*100/Таблица224627910121314574549[[#This Row],[Столбец3]]-100</f>
        <v>-4.2720422566734868</v>
      </c>
      <c r="G31" s="134">
        <f t="shared" si="0"/>
        <v>4.6558755080065302</v>
      </c>
      <c r="H31" s="188">
        <f t="shared" si="1"/>
        <v>3.8860237198202232</v>
      </c>
      <c r="I31" s="205">
        <f>Таблица224627910121314574549[[#This Row],[Столбец3]]*12.7%</f>
        <v>851.1413</v>
      </c>
      <c r="J31" s="205"/>
      <c r="K31" s="226">
        <f>5498.2-Таблица224627910121314574549[[#This Row],[Столбец4]]</f>
        <v>548.91200000000026</v>
      </c>
      <c r="L31" s="225"/>
    </row>
    <row r="32" spans="1:12" s="133" customFormat="1" ht="21" x14ac:dyDescent="0.2">
      <c r="A32" s="149" t="s">
        <v>37</v>
      </c>
      <c r="B32" s="134">
        <v>3792.3989999999999</v>
      </c>
      <c r="C32" s="91">
        <v>4200.6769999999997</v>
      </c>
      <c r="D32" s="245">
        <v>4272.2529999999997</v>
      </c>
      <c r="E32" s="91">
        <f>Таблица224627910121314574549[[#This Row],[Столбец2]]-Таблица224627910121314574549[[#This Row],[Столбец3]]</f>
        <v>479.85399999999981</v>
      </c>
      <c r="F32" s="134">
        <f>Таблица224627910121314574549[[#This Row],[Столбец2]]*100/Таблица224627910121314574549[[#This Row],[Столбец3]]-100</f>
        <v>12.65304626438305</v>
      </c>
      <c r="G32" s="134">
        <f t="shared" si="0"/>
        <v>2.6346166938761333</v>
      </c>
      <c r="H32" s="188">
        <f t="shared" si="1"/>
        <v>2.5877699976982806</v>
      </c>
      <c r="I32" s="205">
        <f>Таблица224627910121314574549[[#This Row],[Столбец3]]*12.7%</f>
        <v>481.63467300000002</v>
      </c>
      <c r="J32" s="205"/>
      <c r="K32" s="225">
        <f>5498.2-Таблица224627910121314574549[[#This Row],[Столбец4]]</f>
        <v>1297.5230000000001</v>
      </c>
      <c r="L32" s="225"/>
    </row>
    <row r="33" spans="1:15" s="133" customFormat="1" ht="25.5" customHeight="1" x14ac:dyDescent="0.2">
      <c r="A33" s="150" t="s">
        <v>29</v>
      </c>
      <c r="B33" s="135">
        <f>B41+B49+B57+B97</f>
        <v>2416.2955010000001</v>
      </c>
      <c r="C33" s="86">
        <f>C41+C49+C57+C97+C142</f>
        <v>2466.2713229999999</v>
      </c>
      <c r="D33" s="240">
        <f>D41+D49+D57+D97</f>
        <v>2498.0216290000003</v>
      </c>
      <c r="E33" s="86">
        <f>Таблица224627910121314574549[[#This Row],[Столбец2]]-Таблица224627910121314574549[[#This Row],[Столбец3]]</f>
        <v>81.726128000000244</v>
      </c>
      <c r="F33" s="135">
        <f>Таблица224627910121314574549[[#This Row],[Столбец2]]*100/Таблица224627910121314574549[[#This Row],[Столбец3]]-100</f>
        <v>3.3822902855291233</v>
      </c>
      <c r="G33" s="135">
        <f t="shared" si="0"/>
        <v>1.6786241279655425</v>
      </c>
      <c r="H33" s="186">
        <f t="shared" si="1"/>
        <v>1.5130904993518846</v>
      </c>
      <c r="I33" s="205">
        <f>Таблица224627910121314574549[[#This Row],[Столбец3]]*12.7%</f>
        <v>306.86952862700002</v>
      </c>
      <c r="J33" s="205"/>
      <c r="K33" s="226">
        <f>5498.2-Таблица224627910121314574549[[#This Row],[Столбец4]]</f>
        <v>3031.9286769999999</v>
      </c>
      <c r="L33" s="225"/>
    </row>
    <row r="34" spans="1:15" s="133" customFormat="1" ht="42" x14ac:dyDescent="0.2">
      <c r="A34" s="151" t="s">
        <v>12</v>
      </c>
      <c r="B34" s="135">
        <f>B35+B40+B41</f>
        <v>1832.5617069999998</v>
      </c>
      <c r="C34" s="166">
        <f>C35+C40+C41</f>
        <v>2076.1047699999999</v>
      </c>
      <c r="D34" s="240">
        <f>D35+D40+D41</f>
        <v>2192.6739499999999</v>
      </c>
      <c r="E34" s="86">
        <f>Таблица224627910121314574549[[#This Row],[Столбец2]]-Таблица224627910121314574549[[#This Row],[Столбец3]]</f>
        <v>360.11224300000003</v>
      </c>
      <c r="F34" s="135">
        <f>Таблица224627910121314574549[[#This Row],[Столбец2]]*100/Таблица224627910121314574549[[#This Row],[Столбец3]]-100</f>
        <v>19.650756731653132</v>
      </c>
      <c r="G34" s="135">
        <f t="shared" si="0"/>
        <v>1.2730985494459688</v>
      </c>
      <c r="H34" s="186">
        <f t="shared" si="1"/>
        <v>1.3281366675954305</v>
      </c>
      <c r="I34" s="205">
        <f>Таблица224627910121314574549[[#This Row],[Столбец3]]*12.7%</f>
        <v>232.73533678899997</v>
      </c>
      <c r="J34" s="205"/>
      <c r="K34" s="225">
        <f>5498.2-Таблица224627910121314574549[[#This Row],[Столбец4]]</f>
        <v>3422.0952299999999</v>
      </c>
      <c r="L34" s="225"/>
      <c r="O34" s="209"/>
    </row>
    <row r="35" spans="1:15" s="133" customFormat="1" ht="21" x14ac:dyDescent="0.2">
      <c r="A35" s="153" t="s">
        <v>27</v>
      </c>
      <c r="B35" s="134">
        <f>B36+B37+B38+B39</f>
        <v>1354.8840029999999</v>
      </c>
      <c r="C35" s="91">
        <f>C36+C37+C38+C39</f>
        <v>1594.3505</v>
      </c>
      <c r="D35" s="245">
        <f>D36+D37+D38+D39</f>
        <v>1674.1937499999999</v>
      </c>
      <c r="E35" s="91">
        <f>Таблица224627910121314574549[[#This Row],[Столбец2]]-Таблица224627910121314574549[[#This Row],[Столбец3]]</f>
        <v>319.30974700000002</v>
      </c>
      <c r="F35" s="134">
        <f>Таблица224627910121314574549[[#This Row],[Столбец2]]*100/Таблица224627910121314574549[[#This Row],[Столбец3]]-100</f>
        <v>23.567312500035484</v>
      </c>
      <c r="G35" s="134">
        <f t="shared" si="0"/>
        <v>0.94125117440689143</v>
      </c>
      <c r="H35" s="188">
        <f t="shared" si="1"/>
        <v>1.0140851575466097</v>
      </c>
      <c r="I35" s="205">
        <f>Таблица224627910121314574549[[#This Row],[Столбец3]]*12.7%</f>
        <v>172.07026838099998</v>
      </c>
      <c r="J35" s="205"/>
      <c r="K35" s="225">
        <f>5498.2-Таблица224627910121314574549[[#This Row],[Столбец4]]</f>
        <v>3903.8494999999998</v>
      </c>
      <c r="L35" s="225"/>
    </row>
    <row r="36" spans="1:15" s="133" customFormat="1" ht="21" x14ac:dyDescent="0.2">
      <c r="A36" s="149" t="s">
        <v>33</v>
      </c>
      <c r="B36" s="132">
        <v>589.80052000000001</v>
      </c>
      <c r="C36" s="96">
        <v>825.7</v>
      </c>
      <c r="D36" s="243">
        <v>847.05301999999995</v>
      </c>
      <c r="E36" s="96">
        <f>Таблица224627910121314574549[[#This Row],[Столбец2]]-Таблица224627910121314574549[[#This Row],[Столбец3]]</f>
        <v>257.25249999999994</v>
      </c>
      <c r="F36" s="132">
        <f>Таблица224627910121314574549[[#This Row],[Столбец2]]*100/Таблица224627910121314574549[[#This Row],[Столбец3]]-100</f>
        <v>43.616865580247349</v>
      </c>
      <c r="G36" s="132">
        <f t="shared" si="0"/>
        <v>0.40974019243461046</v>
      </c>
      <c r="H36" s="189">
        <f t="shared" si="1"/>
        <v>0.51307317043623635</v>
      </c>
      <c r="I36" s="205">
        <f>Таблица224627910121314574549[[#This Row],[Столбец3]]*12.7%</f>
        <v>74.904666039999995</v>
      </c>
      <c r="J36" s="205"/>
      <c r="K36" s="225">
        <f>5498.2-Таблица224627910121314574549[[#This Row],[Столбец4]]</f>
        <v>4672.5</v>
      </c>
      <c r="L36" s="225"/>
    </row>
    <row r="37" spans="1:15" s="133" customFormat="1" ht="21" x14ac:dyDescent="0.2">
      <c r="A37" s="149" t="s">
        <v>34</v>
      </c>
      <c r="B37" s="132">
        <v>126.17</v>
      </c>
      <c r="C37" s="96">
        <v>121.06100000000001</v>
      </c>
      <c r="D37" s="243">
        <v>135.35059999999999</v>
      </c>
      <c r="E37" s="96">
        <f>Таблица224627910121314574549[[#This Row],[Столбец2]]-Таблица224627910121314574549[[#This Row],[Столбец3]]</f>
        <v>9.1805999999999841</v>
      </c>
      <c r="F37" s="132">
        <f>Таблица224627910121314574549[[#This Row],[Столбец2]]*100/Таблица224627910121314574549[[#This Row],[Столбец3]]-100</f>
        <v>7.2763731473408626</v>
      </c>
      <c r="G37" s="132">
        <f t="shared" si="0"/>
        <v>8.7651533571850362E-2</v>
      </c>
      <c r="H37" s="189">
        <f t="shared" si="1"/>
        <v>8.1983960652719054E-2</v>
      </c>
      <c r="I37" s="205">
        <f>Таблица224627910121314574549[[#This Row],[Столбец3]]*12.7%</f>
        <v>16.023589999999999</v>
      </c>
      <c r="J37" s="205"/>
      <c r="K37" s="225">
        <f>5498.2-Таблица224627910121314574549[[#This Row],[Столбец4]]</f>
        <v>5377.1390000000001</v>
      </c>
      <c r="L37" s="225"/>
    </row>
    <row r="38" spans="1:15" s="133" customFormat="1" ht="21" outlineLevel="1" x14ac:dyDescent="0.2">
      <c r="A38" s="149" t="s">
        <v>35</v>
      </c>
      <c r="B38" s="132">
        <v>605.88042299999995</v>
      </c>
      <c r="C38" s="96">
        <v>613.18420000000003</v>
      </c>
      <c r="D38" s="243">
        <v>655.88086999999996</v>
      </c>
      <c r="E38" s="96">
        <f>Таблица224627910121314574549[[#This Row],[Столбец2]]-Таблица224627910121314574549[[#This Row],[Столбец3]]</f>
        <v>50.000447000000008</v>
      </c>
      <c r="F38" s="132">
        <f>Таблица224627910121314574549[[#This Row],[Столбец2]]*100/Таблица224627910121314574549[[#This Row],[Столбец3]]-100</f>
        <v>8.2525272482685921</v>
      </c>
      <c r="G38" s="132">
        <f t="shared" si="0"/>
        <v>0.42091105839035742</v>
      </c>
      <c r="H38" s="132">
        <f t="shared" si="1"/>
        <v>0.39727722994173009</v>
      </c>
      <c r="I38" s="205">
        <f>Таблица224627910121314574549[[#This Row],[Столбец3]]*12.7%</f>
        <v>76.946813720999998</v>
      </c>
      <c r="J38" s="205"/>
      <c r="K38" s="225">
        <f>5498.2-Таблица224627910121314574549[[#This Row],[Столбец4]]</f>
        <v>4885.0158000000001</v>
      </c>
      <c r="L38" s="225"/>
    </row>
    <row r="39" spans="1:15" s="133" customFormat="1" ht="21" outlineLevel="1" x14ac:dyDescent="0.2">
      <c r="A39" s="229" t="s">
        <v>102</v>
      </c>
      <c r="B39" s="199">
        <v>33.033059999999999</v>
      </c>
      <c r="C39" s="243">
        <v>34.405299999999997</v>
      </c>
      <c r="D39" s="243">
        <v>35.909260000000003</v>
      </c>
      <c r="E39" s="243">
        <f>Таблица224627910121314574549[[#This Row],[Столбец2]]-Таблица224627910121314574549[[#This Row],[Столбец3]]</f>
        <v>2.8762000000000043</v>
      </c>
      <c r="F39" s="199">
        <f>Таблица224627910121314574549[[#This Row],[Столбец2]]*100/Таблица224627910121314574549[[#This Row],[Столбец3]]-100</f>
        <v>8.7070347100753196</v>
      </c>
      <c r="G39" s="199">
        <f t="shared" si="0"/>
        <v>2.2948390010073292E-2</v>
      </c>
      <c r="H39" s="230">
        <f t="shared" si="1"/>
        <v>2.1750796515924261E-2</v>
      </c>
      <c r="I39" s="228">
        <f>Таблица224627910121314574549[[#This Row],[Столбец3]]*12.7%</f>
        <v>4.1951986200000002</v>
      </c>
      <c r="J39" s="225"/>
      <c r="K39" s="228">
        <f>5498.2-Таблица224627910121314574549[[#This Row],[Столбец4]]</f>
        <v>5463.7946999999995</v>
      </c>
      <c r="L39" s="225"/>
    </row>
    <row r="40" spans="1:15" s="133" customFormat="1" ht="21" x14ac:dyDescent="0.2">
      <c r="A40" s="153" t="s">
        <v>28</v>
      </c>
      <c r="B40" s="134">
        <v>210.25696500000001</v>
      </c>
      <c r="C40" s="91">
        <v>199.26105999999999</v>
      </c>
      <c r="D40" s="245">
        <v>235.04895999999999</v>
      </c>
      <c r="E40" s="91">
        <f>Таблица224627910121314574549[[#This Row],[Столбец2]]-Таблица224627910121314574549[[#This Row],[Столбец3]]</f>
        <v>24.791994999999986</v>
      </c>
      <c r="F40" s="134">
        <f>Таблица224627910121314574549[[#This Row],[Столбец2]]*100/Таблица224627910121314574549[[#This Row],[Столбец3]]-100</f>
        <v>11.791283584826786</v>
      </c>
      <c r="G40" s="134">
        <f t="shared" si="0"/>
        <v>0.1460675709472368</v>
      </c>
      <c r="H40" s="188">
        <f t="shared" si="1"/>
        <v>0.1423728057954862</v>
      </c>
      <c r="I40" s="205">
        <f>Таблица224627910121314574549[[#This Row],[Столбец3]]*12.7%</f>
        <v>26.702634555000003</v>
      </c>
      <c r="J40" s="205"/>
      <c r="K40" s="225">
        <f>5498.2-Таблица224627910121314574549[[#This Row],[Столбец4]]</f>
        <v>5298.93894</v>
      </c>
      <c r="L40" s="225"/>
    </row>
    <row r="41" spans="1:15" s="133" customFormat="1" ht="21" x14ac:dyDescent="0.2">
      <c r="A41" s="153" t="s">
        <v>29</v>
      </c>
      <c r="B41" s="134">
        <v>267.42073900000003</v>
      </c>
      <c r="C41" s="91">
        <v>282.49320999999998</v>
      </c>
      <c r="D41" s="245">
        <v>283.43124</v>
      </c>
      <c r="E41" s="91">
        <f>Таблица224627910121314574549[[#This Row],[Столбец2]]-Таблица224627910121314574549[[#This Row],[Столбец3]]</f>
        <v>16.010500999999977</v>
      </c>
      <c r="F41" s="134">
        <f>Таблица224627910121314574549[[#This Row],[Столбец2]]*100/Таблица224627910121314574549[[#This Row],[Столбец3]]-100</f>
        <v>5.9870079859438192</v>
      </c>
      <c r="G41" s="134">
        <f t="shared" si="0"/>
        <v>0.18577980409184067</v>
      </c>
      <c r="H41" s="188">
        <f t="shared" si="1"/>
        <v>0.17167870425333448</v>
      </c>
      <c r="I41" s="205">
        <f>Таблица224627910121314574549[[#This Row],[Столбец3]]*12.7%</f>
        <v>33.962433853</v>
      </c>
      <c r="J41" s="205"/>
      <c r="K41" s="225">
        <f>5498.2-Таблица224627910121314574549[[#This Row],[Столбец4]]</f>
        <v>5215.7067900000002</v>
      </c>
      <c r="L41" s="225"/>
    </row>
    <row r="42" spans="1:15" s="133" customFormat="1" ht="42" x14ac:dyDescent="0.2">
      <c r="A42" s="151" t="s">
        <v>30</v>
      </c>
      <c r="B42" s="135">
        <f>SUM(B43,B48,B49)</f>
        <v>3741.3544199999997</v>
      </c>
      <c r="C42" s="86">
        <f>SUM(C43,C48,C49)</f>
        <v>4399.479875</v>
      </c>
      <c r="D42" s="240">
        <f>SUM(D43,D48,D49)</f>
        <v>4893.7509080000009</v>
      </c>
      <c r="E42" s="86">
        <f>Таблица224627910121314574549[[#This Row],[Столбец2]]-Таблица224627910121314574549[[#This Row],[Столбец3]]</f>
        <v>1152.3964880000012</v>
      </c>
      <c r="F42" s="135">
        <f>Таблица224627910121314574549[[#This Row],[Столбец2]]*100/Таблица224627910121314574549[[#This Row],[Столбец3]]-100</f>
        <v>30.801585699544631</v>
      </c>
      <c r="G42" s="135">
        <f t="shared" si="0"/>
        <v>2.5991555246795648</v>
      </c>
      <c r="H42" s="186">
        <f t="shared" si="1"/>
        <v>2.9642209335287779</v>
      </c>
      <c r="I42" s="205">
        <f>Таблица224627910121314574549[[#This Row],[Столбец3]]*12.7%</f>
        <v>475.15201133999994</v>
      </c>
      <c r="J42" s="205"/>
      <c r="K42" s="225">
        <f>5498.2-Таблица224627910121314574549[[#This Row],[Столбец4]]</f>
        <v>1098.7201249999998</v>
      </c>
      <c r="L42" s="225"/>
    </row>
    <row r="43" spans="1:15" s="133" customFormat="1" ht="21" x14ac:dyDescent="0.2">
      <c r="A43" s="153" t="s">
        <v>27</v>
      </c>
      <c r="B43" s="134">
        <f>B44+B45+B46+B47</f>
        <v>3382.3556499999995</v>
      </c>
      <c r="C43" s="91">
        <f>C44+C45+C46+C47</f>
        <v>3999.375125</v>
      </c>
      <c r="D43" s="245">
        <f>D44+D45+D46+D47</f>
        <v>4478.9858820000009</v>
      </c>
      <c r="E43" s="91">
        <f>Таблица224627910121314574549[[#This Row],[Столбец2]]-Таблица224627910121314574549[[#This Row],[Столбец3]]</f>
        <v>1096.6302320000013</v>
      </c>
      <c r="F43" s="134">
        <f>Таблица224627910121314574549[[#This Row],[Столбец2]]*100/Таблица224627910121314574549[[#This Row],[Столбец3]]-100</f>
        <v>32.42208524109526</v>
      </c>
      <c r="G43" s="134">
        <f t="shared" si="0"/>
        <v>2.3497555663621519</v>
      </c>
      <c r="H43" s="188">
        <f t="shared" si="1"/>
        <v>2.7129913152507061</v>
      </c>
      <c r="I43" s="205">
        <f>Таблица224627910121314574549[[#This Row],[Столбец3]]*12.7%</f>
        <v>429.55916754999993</v>
      </c>
      <c r="J43" s="205"/>
      <c r="K43" s="225">
        <f>5498.2-Таблица224627910121314574549[[#This Row],[Столбец4]]</f>
        <v>1498.8248749999998</v>
      </c>
      <c r="L43" s="225"/>
    </row>
    <row r="44" spans="1:15" s="136" customFormat="1" ht="21" x14ac:dyDescent="0.2">
      <c r="A44" s="149" t="s">
        <v>33</v>
      </c>
      <c r="B44" s="134">
        <f>554.962997+917.169968</f>
        <v>1472.132965</v>
      </c>
      <c r="C44" s="91">
        <v>2093.4499999999998</v>
      </c>
      <c r="D44" s="245">
        <v>2143.4505210000002</v>
      </c>
      <c r="E44" s="91">
        <f>Таблица224627910121314574549[[#This Row],[Столбец2]]-Таблица224627910121314574549[[#This Row],[Столбец3]]</f>
        <v>671.3175560000002</v>
      </c>
      <c r="F44" s="134">
        <f>Таблица224627910121314574549[[#This Row],[Столбец2]]*100/Таблица224627910121314574549[[#This Row],[Столбец3]]-100</f>
        <v>45.601693050871944</v>
      </c>
      <c r="G44" s="134">
        <f t="shared" si="0"/>
        <v>1.0227051755878982</v>
      </c>
      <c r="H44" s="188">
        <f t="shared" si="1"/>
        <v>1.29832127212376</v>
      </c>
      <c r="I44" s="205">
        <f>Таблица224627910121314574549[[#This Row],[Столбец3]]*12.7%</f>
        <v>186.960886555</v>
      </c>
      <c r="J44" s="205"/>
      <c r="K44" s="225">
        <f>5498.2-Таблица224627910121314574549[[#This Row],[Столбец4]]</f>
        <v>3404.75</v>
      </c>
      <c r="L44" s="225"/>
    </row>
    <row r="45" spans="1:15" s="133" customFormat="1" ht="21" x14ac:dyDescent="0.2">
      <c r="A45" s="149" t="s">
        <v>34</v>
      </c>
      <c r="B45" s="154">
        <f>88+120.07</f>
        <v>208.07</v>
      </c>
      <c r="C45" s="99">
        <f>85.81+117.79</f>
        <v>203.60000000000002</v>
      </c>
      <c r="D45" s="246">
        <f>92.2476+124.42</f>
        <v>216.66759999999999</v>
      </c>
      <c r="E45" s="99">
        <f>Таблица224627910121314574549[[#This Row],[Столбец2]]-Таблица224627910121314574549[[#This Row],[Столбец3]]</f>
        <v>8.5975999999999999</v>
      </c>
      <c r="F45" s="154">
        <f>Таблица224627910121314574549[[#This Row],[Столбец2]]*100/Таблица224627910121314574549[[#This Row],[Столбец3]]-100</f>
        <v>4.1320709376652047</v>
      </c>
      <c r="G45" s="154">
        <f t="shared" si="0"/>
        <v>0.14454826496231199</v>
      </c>
      <c r="H45" s="190">
        <f t="shared" si="1"/>
        <v>0.13123893054865712</v>
      </c>
      <c r="I45" s="205">
        <f>Таблица224627910121314574549[[#This Row],[Столбец3]]*12.7%</f>
        <v>26.424889999999998</v>
      </c>
      <c r="J45" s="205"/>
      <c r="K45" s="225">
        <f>5498.2-Таблица224627910121314574549[[#This Row],[Столбец4]]</f>
        <v>5294.5999999999995</v>
      </c>
      <c r="L45" s="225"/>
    </row>
    <row r="46" spans="1:15" s="133" customFormat="1" ht="21" outlineLevel="1" x14ac:dyDescent="0.2">
      <c r="A46" s="149" t="s">
        <v>35</v>
      </c>
      <c r="B46" s="134">
        <v>1581.952685</v>
      </c>
      <c r="C46" s="91">
        <v>1582.0251250000001</v>
      </c>
      <c r="D46" s="245">
        <v>1981.2677610000001</v>
      </c>
      <c r="E46" s="91">
        <f>Таблица224627910121314574549[[#This Row],[Столбец2]]-Таблица224627910121314574549[[#This Row],[Столбец3]]</f>
        <v>399.31507600000009</v>
      </c>
      <c r="F46" s="134">
        <f>Таблица224627910121314574549[[#This Row],[Столбец2]]*100/Таблица224627910121314574549[[#This Row],[Столбец3]]-100</f>
        <v>25.241910190253265</v>
      </c>
      <c r="G46" s="134">
        <f t="shared" si="0"/>
        <v>1.098998009656466</v>
      </c>
      <c r="H46" s="188">
        <f t="shared" si="1"/>
        <v>1.2000846554084339</v>
      </c>
      <c r="I46" s="205">
        <f>Таблица224627910121314574549[[#This Row],[Столбец3]]*12.7%</f>
        <v>200.90799099500001</v>
      </c>
      <c r="J46" s="205"/>
      <c r="K46" s="226">
        <f>5498.2-Таблица224627910121314574549[[#This Row],[Столбец4]]</f>
        <v>3916.1748749999997</v>
      </c>
      <c r="L46" s="225"/>
    </row>
    <row r="47" spans="1:15" s="133" customFormat="1" ht="21" outlineLevel="1" x14ac:dyDescent="0.2">
      <c r="A47" s="229" t="s">
        <v>102</v>
      </c>
      <c r="B47" s="134">
        <v>120.2</v>
      </c>
      <c r="C47" s="247">
        <v>120.3</v>
      </c>
      <c r="D47" s="243">
        <v>137.6</v>
      </c>
      <c r="E47" s="91">
        <f>Таблица224627910121314574549[[#This Row],[Столбец2]]-Таблица224627910121314574549[[#This Row],[Столбец3]]</f>
        <v>17.399999999999991</v>
      </c>
      <c r="F47" s="134">
        <f>Таблица224627910121314574549[[#This Row],[Столбец2]]*100/Таблица224627910121314574549[[#This Row],[Столбец3]]-100</f>
        <v>14.475873544093176</v>
      </c>
      <c r="G47" s="134">
        <f t="shared" si="0"/>
        <v>8.3504116155476052E-2</v>
      </c>
      <c r="H47" s="188">
        <f t="shared" si="1"/>
        <v>8.334645716985474E-2</v>
      </c>
      <c r="I47" s="228">
        <f>Таблица224627910121314574549[[#This Row],[Столбец3]]*12.7%</f>
        <v>15.265400000000001</v>
      </c>
      <c r="J47" s="225"/>
      <c r="K47" s="228">
        <f>5498.2-Таблица224627910121314574549[[#This Row],[Столбец4]]</f>
        <v>5377.9</v>
      </c>
      <c r="L47" s="225"/>
    </row>
    <row r="48" spans="1:15" s="133" customFormat="1" ht="21" x14ac:dyDescent="0.2">
      <c r="A48" s="153" t="s">
        <v>28</v>
      </c>
      <c r="B48" s="134">
        <f>81.257352</f>
        <v>81.257351999999997</v>
      </c>
      <c r="C48" s="91">
        <v>89.469750000000005</v>
      </c>
      <c r="D48" s="245">
        <v>89.469750000000005</v>
      </c>
      <c r="E48" s="91">
        <f>Таблица224627910121314574549[[#This Row],[Столбец2]]-Таблица224627910121314574549[[#This Row],[Столбец3]]</f>
        <v>8.2123980000000074</v>
      </c>
      <c r="F48" s="134">
        <f>Таблица224627910121314574549[[#This Row],[Столбец2]]*100/Таблица224627910121314574549[[#This Row],[Столбец3]]-100</f>
        <v>10.106652257139771</v>
      </c>
      <c r="G48" s="134">
        <f t="shared" si="0"/>
        <v>5.6450277536559103E-2</v>
      </c>
      <c r="H48" s="188">
        <f t="shared" si="1"/>
        <v>5.4193217197475385E-2</v>
      </c>
      <c r="I48" s="205">
        <f>Таблица224627910121314574549[[#This Row],[Столбец3]]*12.7%</f>
        <v>10.319683703999999</v>
      </c>
      <c r="J48" s="205"/>
      <c r="K48" s="225">
        <f>5498.2-Таблица224627910121314574549[[#This Row],[Столбец4]]</f>
        <v>5408.7302499999996</v>
      </c>
      <c r="L48" s="225"/>
    </row>
    <row r="49" spans="1:12" s="133" customFormat="1" ht="21" x14ac:dyDescent="0.2">
      <c r="A49" s="153" t="s">
        <v>29</v>
      </c>
      <c r="B49" s="134">
        <f>0.5867+277.154718</f>
        <v>277.74141800000001</v>
      </c>
      <c r="C49" s="91">
        <v>310.63499999999999</v>
      </c>
      <c r="D49" s="245">
        <v>325.295276</v>
      </c>
      <c r="E49" s="91">
        <f>Таблица224627910121314574549[[#This Row],[Столбец2]]-Таблица224627910121314574549[[#This Row],[Столбец3]]</f>
        <v>47.553857999999991</v>
      </c>
      <c r="F49" s="134">
        <f>Таблица224627910121314574549[[#This Row],[Столбец2]]*100/Таблица224627910121314574549[[#This Row],[Столбец3]]-100</f>
        <v>17.121630019185687</v>
      </c>
      <c r="G49" s="134">
        <f t="shared" si="0"/>
        <v>0.19294968078085381</v>
      </c>
      <c r="H49" s="188">
        <f t="shared" si="1"/>
        <v>0.1970364010805965</v>
      </c>
      <c r="I49" s="205">
        <f>Таблица224627910121314574549[[#This Row],[Столбец3]]*12.7%</f>
        <v>35.273160086000004</v>
      </c>
      <c r="J49" s="205"/>
      <c r="K49" s="225">
        <f>5498.2-Таблица224627910121314574549[[#This Row],[Столбец4]]</f>
        <v>5187.5649999999996</v>
      </c>
      <c r="L49" s="225"/>
    </row>
    <row r="50" spans="1:12" s="133" customFormat="1" ht="21" x14ac:dyDescent="0.2">
      <c r="A50" s="143" t="s">
        <v>31</v>
      </c>
      <c r="B50" s="135">
        <f>SUM(B58,B66,B74,B82)</f>
        <v>18971.108175000001</v>
      </c>
      <c r="C50" s="86">
        <f>SUM(C58,C66,C74,C82)</f>
        <v>21315.030490000001</v>
      </c>
      <c r="D50" s="240">
        <f>SUM(D58,D66,D74,D82)</f>
        <v>23423.478958</v>
      </c>
      <c r="E50" s="86">
        <f>Таблица224627910121314574549[[#This Row],[Столбец2]]-Таблица224627910121314574549[[#This Row],[Столбец3]]</f>
        <v>4452.3707829999985</v>
      </c>
      <c r="F50" s="135">
        <f>Таблица224627910121314574549[[#This Row],[Столбец2]]*100/Таблица224627910121314574549[[#This Row],[Столбец3]]-100</f>
        <v>23.469218255090141</v>
      </c>
      <c r="G50" s="135">
        <f t="shared" si="0"/>
        <v>13.179414481225468</v>
      </c>
      <c r="H50" s="186">
        <f t="shared" si="1"/>
        <v>14.187965012659454</v>
      </c>
      <c r="I50" s="205">
        <f>Таблица224627910121314574549[[#This Row],[Столбец3]]*12.7%</f>
        <v>2409.330738225</v>
      </c>
      <c r="J50" s="205"/>
      <c r="K50" s="225">
        <f>5498.2-Таблица224627910121314574549[[#This Row],[Столбец4]]</f>
        <v>-15816.83049</v>
      </c>
      <c r="L50" s="225"/>
    </row>
    <row r="51" spans="1:12" s="133" customFormat="1" ht="21" x14ac:dyDescent="0.2">
      <c r="A51" s="153" t="s">
        <v>27</v>
      </c>
      <c r="B51" s="134">
        <f t="shared" ref="B51:D55" si="4">B59+B67+B75+B83</f>
        <v>15889.678558</v>
      </c>
      <c r="C51" s="91">
        <f t="shared" si="4"/>
        <v>18589.224542</v>
      </c>
      <c r="D51" s="245">
        <f t="shared" si="4"/>
        <v>20645.356510000001</v>
      </c>
      <c r="E51" s="91">
        <f>Таблица224627910121314574549[[#This Row],[Столбец2]]-Таблица224627910121314574549[[#This Row],[Столбец3]]</f>
        <v>4755.6779520000018</v>
      </c>
      <c r="F51" s="134">
        <f>Таблица224627910121314574549[[#This Row],[Столбец2]]*100/Таблица224627910121314574549[[#This Row],[Столбец3]]-100</f>
        <v>29.92935278483435</v>
      </c>
      <c r="G51" s="134">
        <f t="shared" si="0"/>
        <v>11.038715174545834</v>
      </c>
      <c r="H51" s="188">
        <f t="shared" si="1"/>
        <v>12.505213096781228</v>
      </c>
      <c r="I51" s="205">
        <f>Таблица224627910121314574549[[#This Row],[Столбец3]]*12.7%</f>
        <v>2017.989176866</v>
      </c>
      <c r="J51" s="205"/>
      <c r="K51" s="225">
        <f>5498.2-Таблица224627910121314574549[[#This Row],[Столбец4]]</f>
        <v>-13091.024541999999</v>
      </c>
      <c r="L51" s="225"/>
    </row>
    <row r="52" spans="1:12" s="133" customFormat="1" ht="21" x14ac:dyDescent="0.2">
      <c r="A52" s="149" t="s">
        <v>33</v>
      </c>
      <c r="B52" s="132">
        <f t="shared" si="4"/>
        <v>6729.1343310000002</v>
      </c>
      <c r="C52" s="96">
        <f t="shared" si="4"/>
        <v>9279.5338520000005</v>
      </c>
      <c r="D52" s="243">
        <f t="shared" si="4"/>
        <v>9279.252292000001</v>
      </c>
      <c r="E52" s="96">
        <f>Таблица224627910121314574549[[#This Row],[Столбец2]]-Таблица224627910121314574549[[#This Row],[Столбец3]]</f>
        <v>2550.1179610000008</v>
      </c>
      <c r="F52" s="132">
        <f>Таблица224627910121314574549[[#This Row],[Столбец2]]*100/Таблица224627910121314574549[[#This Row],[Столбец3]]-100</f>
        <v>37.896671927799559</v>
      </c>
      <c r="G52" s="132">
        <f t="shared" si="0"/>
        <v>4.6747954642398142</v>
      </c>
      <c r="H52" s="189">
        <f t="shared" si="1"/>
        <v>5.6205872363623159</v>
      </c>
      <c r="I52" s="205">
        <f>Таблица224627910121314574549[[#This Row],[Столбец3]]*12.7%</f>
        <v>854.60006003700005</v>
      </c>
      <c r="J52" s="205"/>
      <c r="K52" s="225">
        <f>5498.2-Таблица224627910121314574549[[#This Row],[Столбец4]]</f>
        <v>-3781.3338520000007</v>
      </c>
      <c r="L52" s="225"/>
    </row>
    <row r="53" spans="1:12" s="133" customFormat="1" ht="21" x14ac:dyDescent="0.2">
      <c r="A53" s="149" t="s">
        <v>34</v>
      </c>
      <c r="B53" s="132">
        <f t="shared" si="4"/>
        <v>1031.248</v>
      </c>
      <c r="C53" s="96">
        <f t="shared" si="4"/>
        <v>970.54199999999992</v>
      </c>
      <c r="D53" s="243">
        <f t="shared" si="4"/>
        <v>1230.3231000000001</v>
      </c>
      <c r="E53" s="96">
        <f>Таблица224627910121314574549[[#This Row],[Столбец2]]-Таблица224627910121314574549[[#This Row],[Столбец3]]</f>
        <v>199.07510000000002</v>
      </c>
      <c r="F53" s="132">
        <f>Таблица224627910121314574549[[#This Row],[Столбец2]]*100/Таблица224627910121314574549[[#This Row],[Столбец3]]-100</f>
        <v>19.304289559834302</v>
      </c>
      <c r="G53" s="132">
        <f t="shared" si="0"/>
        <v>0.71641807634860544</v>
      </c>
      <c r="H53" s="189">
        <f t="shared" si="1"/>
        <v>0.7452258107502393</v>
      </c>
      <c r="I53" s="205">
        <f>Таблица224627910121314574549[[#This Row],[Столбец3]]*12.7%</f>
        <v>130.96849600000002</v>
      </c>
      <c r="J53" s="205"/>
      <c r="K53" s="225">
        <f>5498.2-Таблица224627910121314574549[[#This Row],[Столбец4]]</f>
        <v>4527.6579999999994</v>
      </c>
      <c r="L53" s="225"/>
    </row>
    <row r="54" spans="1:12" s="133" customFormat="1" ht="21" outlineLevel="1" x14ac:dyDescent="0.2">
      <c r="A54" s="149" t="s">
        <v>35</v>
      </c>
      <c r="B54" s="132">
        <f t="shared" si="4"/>
        <v>7985.6803199999995</v>
      </c>
      <c r="C54" s="96">
        <f t="shared" si="4"/>
        <v>8188.8401330000006</v>
      </c>
      <c r="D54" s="243">
        <f t="shared" si="4"/>
        <v>9978.1864959999984</v>
      </c>
      <c r="E54" s="96">
        <f>Таблица224627910121314574549[[#This Row],[Столбец2]]-Таблица224627910121314574549[[#This Row],[Столбец3]]</f>
        <v>1992.506175999999</v>
      </c>
      <c r="F54" s="132">
        <f>Таблица224627910121314574549[[#This Row],[Столбец2]]*100/Таблица224627910121314574549[[#This Row],[Столбец3]]-100</f>
        <v>24.950988471324123</v>
      </c>
      <c r="G54" s="132">
        <f t="shared" si="0"/>
        <v>5.5477302580846848</v>
      </c>
      <c r="H54" s="189">
        <f t="shared" si="1"/>
        <v>6.0439425394017938</v>
      </c>
      <c r="I54" s="205">
        <f>Таблица224627910121314574549[[#This Row],[Столбец3]]*12.7%</f>
        <v>1014.18140064</v>
      </c>
      <c r="J54" s="205"/>
      <c r="K54" s="225">
        <f>5498.2-Таблица224627910121314574549[[#This Row],[Столбец4]]</f>
        <v>-2690.6401330000008</v>
      </c>
      <c r="L54" s="225"/>
    </row>
    <row r="55" spans="1:12" s="133" customFormat="1" ht="21" outlineLevel="1" x14ac:dyDescent="0.2">
      <c r="A55" s="229" t="s">
        <v>102</v>
      </c>
      <c r="B55" s="132">
        <f t="shared" si="4"/>
        <v>143.61590699999999</v>
      </c>
      <c r="C55" s="96">
        <f t="shared" si="4"/>
        <v>150.30855699999998</v>
      </c>
      <c r="D55" s="243">
        <f t="shared" si="4"/>
        <v>157.59462199999999</v>
      </c>
      <c r="E55" s="96">
        <f>Таблица224627910121314574549[[#This Row],[Столбец2]]-Таблица224627910121314574549[[#This Row],[Столбец3]]</f>
        <v>13.978714999999994</v>
      </c>
      <c r="F55" s="132">
        <f>Таблица224627910121314574549[[#This Row],[Столбец2]]*100/Таблица224627910121314574549[[#This Row],[Столбец3]]-100</f>
        <v>9.7334029997108757</v>
      </c>
      <c r="G55" s="132">
        <f t="shared" si="0"/>
        <v>9.9771375872729162E-2</v>
      </c>
      <c r="H55" s="189">
        <f t="shared" si="1"/>
        <v>9.5457510266878265E-2</v>
      </c>
      <c r="I55" s="232">
        <f>Таблица224627910121314574549[[#This Row],[Столбец3]]*12.7%</f>
        <v>18.239220189000001</v>
      </c>
      <c r="J55" s="205"/>
      <c r="K55" s="232">
        <f>5498.2-Таблица224627910121314574549[[#This Row],[Столбец4]]</f>
        <v>5347.8914429999995</v>
      </c>
      <c r="L55" s="225"/>
    </row>
    <row r="56" spans="1:12" s="133" customFormat="1" ht="21" x14ac:dyDescent="0.2">
      <c r="A56" s="153" t="s">
        <v>28</v>
      </c>
      <c r="B56" s="134">
        <f>B64+B72+B88</f>
        <v>1360.6921130000001</v>
      </c>
      <c r="C56" s="91">
        <f>C64+C72+C80+C88</f>
        <v>1005.1001</v>
      </c>
      <c r="D56" s="245">
        <f>D64+D72+D80+D88</f>
        <v>1046.8197500000001</v>
      </c>
      <c r="E56" s="91">
        <f>Таблица224627910121314574549[[#This Row],[Столбец2]]-Таблица224627910121314574549[[#This Row],[Столбец3]]</f>
        <v>-313.87236299999995</v>
      </c>
      <c r="F56" s="134">
        <f>Таблица224627910121314574549[[#This Row],[Столбец2]]*100/Таблица224627910121314574549[[#This Row],[Столбец3]]-100</f>
        <v>-23.067111215040896</v>
      </c>
      <c r="G56" s="134">
        <f t="shared" si="0"/>
        <v>0.94528612525617417</v>
      </c>
      <c r="H56" s="188">
        <f t="shared" si="1"/>
        <v>0.63407498152567632</v>
      </c>
      <c r="I56" s="205">
        <f>Таблица224627910121314574549[[#This Row],[Столбец3]]*12.7%</f>
        <v>172.80789835100001</v>
      </c>
      <c r="J56" s="205"/>
      <c r="K56" s="225">
        <f>5498.2-Таблица224627910121314574549[[#This Row],[Столбец4]]</f>
        <v>4493.0999000000002</v>
      </c>
      <c r="L56" s="225"/>
    </row>
    <row r="57" spans="1:12" s="133" customFormat="1" ht="21" x14ac:dyDescent="0.2">
      <c r="A57" s="153" t="s">
        <v>29</v>
      </c>
      <c r="B57" s="134">
        <f>B65+B73+B81+B89</f>
        <v>1720.7375039999999</v>
      </c>
      <c r="C57" s="91">
        <f>C65+C73+C81+C89</f>
        <v>1720.7058479999998</v>
      </c>
      <c r="D57" s="245">
        <f>D65+D73+D81+D89</f>
        <v>1731.302698</v>
      </c>
      <c r="E57" s="91">
        <f>Таблица224627910121314574549[[#This Row],[Столбец2]]-Таблица224627910121314574549[[#This Row],[Столбец3]]</f>
        <v>10.56519400000002</v>
      </c>
      <c r="F57" s="134">
        <f>Таблица224627910121314574549[[#This Row],[Столбец2]]*100/Таблица224627910121314574549[[#This Row],[Столбец3]]-100</f>
        <v>0.61399219668545868</v>
      </c>
      <c r="G57" s="134">
        <f t="shared" si="0"/>
        <v>1.1954131814234603</v>
      </c>
      <c r="H57" s="188">
        <f t="shared" si="1"/>
        <v>1.0486769343525506</v>
      </c>
      <c r="I57" s="205">
        <f>Таблица224627910121314574549[[#This Row],[Столбец3]]*12.7%</f>
        <v>218.53366300799999</v>
      </c>
      <c r="J57" s="205"/>
      <c r="K57" s="225">
        <f>5498.2-Таблица224627910121314574549[[#This Row],[Столбец4]]</f>
        <v>3777.4941520000002</v>
      </c>
      <c r="L57" s="225"/>
    </row>
    <row r="58" spans="1:12" s="133" customFormat="1" ht="21" x14ac:dyDescent="0.2">
      <c r="A58" s="151" t="s">
        <v>2</v>
      </c>
      <c r="B58" s="86">
        <f>SUM(B59,B64,B65)</f>
        <v>8231.8673260000014</v>
      </c>
      <c r="C58" s="86">
        <f>SUM(C59,C64,C65)</f>
        <v>9977.585411</v>
      </c>
      <c r="D58" s="240">
        <f>SUM(D59,D64,D65)</f>
        <v>10667.695829999999</v>
      </c>
      <c r="E58" s="86">
        <f>Таблица224627910121314574549[[#This Row],[Столбец2]]-Таблица224627910121314574549[[#This Row],[Столбец3]]</f>
        <v>2435.8285039999973</v>
      </c>
      <c r="F58" s="86">
        <f>Таблица224627910121314574549[[#This Row],[Столбец2]]*100/Таблица224627910121314574549[[#This Row],[Столбец3]]-100</f>
        <v>29.590230351581795</v>
      </c>
      <c r="G58" s="86">
        <f t="shared" si="0"/>
        <v>5.7187587800896189</v>
      </c>
      <c r="H58" s="87">
        <f t="shared" si="1"/>
        <v>6.4615890522974784</v>
      </c>
      <c r="I58" s="205">
        <f>Таблица224627910121314574549[[#This Row],[Столбец3]]*12.7%</f>
        <v>1045.4471504020003</v>
      </c>
      <c r="J58" s="205"/>
      <c r="K58" s="225">
        <f>5498.2-Таблица224627910121314574549[[#This Row],[Столбец4]]</f>
        <v>-4479.3854110000002</v>
      </c>
      <c r="L58" s="225"/>
    </row>
    <row r="59" spans="1:12" s="133" customFormat="1" ht="21" x14ac:dyDescent="0.2">
      <c r="A59" s="153" t="s">
        <v>27</v>
      </c>
      <c r="B59" s="154">
        <f>B60+B61+B62+B63</f>
        <v>6460.2870260000009</v>
      </c>
      <c r="C59" s="99">
        <f>C60+C61+C62+C63</f>
        <v>8215.5161160000007</v>
      </c>
      <c r="D59" s="246">
        <f>D60+D61+D62+D63</f>
        <v>8905.6265349999994</v>
      </c>
      <c r="E59" s="99">
        <f>Таблица224627910121314574549[[#This Row],[Столбец2]]-Таблица224627910121314574549[[#This Row],[Столбец3]]</f>
        <v>2445.3395089999985</v>
      </c>
      <c r="F59" s="154">
        <f>Таблица224627910121314574549[[#This Row],[Столбец2]]*100/Таблица224627910121314574549[[#This Row],[Столбец3]]-100</f>
        <v>37.851870964223593</v>
      </c>
      <c r="G59" s="154">
        <f t="shared" si="0"/>
        <v>4.4880246107888428</v>
      </c>
      <c r="H59" s="190">
        <f t="shared" si="1"/>
        <v>5.3942763122826989</v>
      </c>
      <c r="I59" s="205">
        <f>Таблица224627910121314574549[[#This Row],[Столбец3]]*12.7%</f>
        <v>820.45645230200012</v>
      </c>
      <c r="J59" s="205"/>
      <c r="K59" s="225">
        <f>5498.2-Таблица224627910121314574549[[#This Row],[Столбец4]]</f>
        <v>-2717.3161160000009</v>
      </c>
      <c r="L59" s="225"/>
    </row>
    <row r="60" spans="1:12" s="133" customFormat="1" ht="21" x14ac:dyDescent="0.2">
      <c r="A60" s="149" t="s">
        <v>33</v>
      </c>
      <c r="B60" s="132">
        <v>4463.64912</v>
      </c>
      <c r="C60" s="96">
        <v>6207.4430000000002</v>
      </c>
      <c r="D60" s="243">
        <v>6207.2950000000001</v>
      </c>
      <c r="E60" s="96">
        <f>Таблица224627910121314574549[[#This Row],[Столбец2]]-Таблица224627910121314574549[[#This Row],[Столбец3]]</f>
        <v>1743.64588</v>
      </c>
      <c r="F60" s="132">
        <f>Таблица224627910121314574549[[#This Row],[Столбец2]]*100/Таблица224627910121314574549[[#This Row],[Столбец3]]-100</f>
        <v>39.063238017239144</v>
      </c>
      <c r="G60" s="132">
        <f t="shared" si="0"/>
        <v>3.1009407204140471</v>
      </c>
      <c r="H60" s="189">
        <f t="shared" si="1"/>
        <v>3.759854991701697</v>
      </c>
      <c r="I60" s="205">
        <f>Таблица224627910121314574549[[#This Row],[Столбец3]]*12.7%</f>
        <v>566.88343824000003</v>
      </c>
      <c r="J60" s="205"/>
      <c r="K60" s="225">
        <f>5498.2-Таблица224627910121314574549[[#This Row],[Столбец4]]</f>
        <v>-709.24300000000039</v>
      </c>
      <c r="L60" s="225"/>
    </row>
    <row r="61" spans="1:12" s="133" customFormat="1" ht="21" x14ac:dyDescent="0.2">
      <c r="A61" s="149" t="s">
        <v>34</v>
      </c>
      <c r="B61" s="154">
        <v>455.16699999999997</v>
      </c>
      <c r="C61" s="99">
        <v>419.78699999999998</v>
      </c>
      <c r="D61" s="246">
        <v>520.77679999999998</v>
      </c>
      <c r="E61" s="99">
        <f>Таблица224627910121314574549[[#This Row],[Столбец2]]-Таблица224627910121314574549[[#This Row],[Столбец3]]</f>
        <v>65.609800000000007</v>
      </c>
      <c r="F61" s="154">
        <f>Таблица224627910121314574549[[#This Row],[Столбец2]]*100/Таблица224627910121314574549[[#This Row],[Столбец3]]-100</f>
        <v>14.414445686967653</v>
      </c>
      <c r="G61" s="154">
        <f t="shared" si="0"/>
        <v>0.31620896870332416</v>
      </c>
      <c r="H61" s="190">
        <f t="shared" si="1"/>
        <v>0.3154425963390553</v>
      </c>
      <c r="I61" s="205">
        <f>Таблица224627910121314574549[[#This Row],[Столбец3]]*12.7%</f>
        <v>57.806208999999996</v>
      </c>
      <c r="J61" s="205"/>
      <c r="K61" s="225">
        <f>5498.2-Таблица224627910121314574549[[#This Row],[Столбец4]]</f>
        <v>5078.4129999999996</v>
      </c>
      <c r="L61" s="225"/>
    </row>
    <row r="62" spans="1:12" s="136" customFormat="1" ht="21" outlineLevel="1" x14ac:dyDescent="0.2">
      <c r="A62" s="149" t="s">
        <v>95</v>
      </c>
      <c r="B62" s="132">
        <v>1492.11646</v>
      </c>
      <c r="C62" s="96">
        <v>1538.9316700000002</v>
      </c>
      <c r="D62" s="243">
        <v>2123.2753219999995</v>
      </c>
      <c r="E62" s="96">
        <f>Таблица224627910121314574549[[#This Row],[Столбец2]]-Таблица224627910121314574549[[#This Row],[Столбец3]]</f>
        <v>631.15886199999954</v>
      </c>
      <c r="F62" s="132">
        <f>Таблица224627910121314574549[[#This Row],[Столбец2]]*100/Таблица224627910121314574549[[#This Row],[Столбец3]]-100</f>
        <v>42.299571040185413</v>
      </c>
      <c r="G62" s="132">
        <f t="shared" si="0"/>
        <v>1.0365879051026432</v>
      </c>
      <c r="H62" s="189">
        <f t="shared" si="1"/>
        <v>1.2861008407331578</v>
      </c>
      <c r="I62" s="205">
        <f>Таблица224627910121314574549[[#This Row],[Столбец3]]*12.7%</f>
        <v>189.49879042000001</v>
      </c>
      <c r="J62" s="205"/>
      <c r="K62" s="225">
        <f>5498.2-Таблица224627910121314574549[[#This Row],[Столбец4]]</f>
        <v>3959.2683299999999</v>
      </c>
      <c r="L62" s="225"/>
    </row>
    <row r="63" spans="1:12" s="133" customFormat="1" ht="21" outlineLevel="1" x14ac:dyDescent="0.2">
      <c r="A63" s="229" t="s">
        <v>102</v>
      </c>
      <c r="B63" s="199">
        <v>49.354446000000003</v>
      </c>
      <c r="C63" s="243">
        <v>49.354446000000003</v>
      </c>
      <c r="D63" s="243">
        <v>54.279412999999998</v>
      </c>
      <c r="E63" s="96">
        <f>Таблица224627910121314574549[[#This Row],[Столбец2]]-Таблица224627910121314574549[[#This Row],[Столбец3]]</f>
        <v>4.9249669999999952</v>
      </c>
      <c r="F63" s="132">
        <f>Таблица224627910121314574549[[#This Row],[Столбец2]]*100/Таблица224627910121314574549[[#This Row],[Столбец3]]-100</f>
        <v>9.978770706898402</v>
      </c>
      <c r="G63" s="132">
        <f t="shared" si="0"/>
        <v>3.4287016568828377E-2</v>
      </c>
      <c r="H63" s="189">
        <f t="shared" si="1"/>
        <v>3.2877883508788931E-2</v>
      </c>
      <c r="I63" s="228">
        <f>Таблица224627910121314574549[[#This Row],[Столбец3]]*12.7%</f>
        <v>6.2680146420000007</v>
      </c>
      <c r="J63" s="225"/>
      <c r="K63" s="228">
        <f>5498.2-Таблица224627910121314574549[[#This Row],[Столбец4]]</f>
        <v>5448.8455539999995</v>
      </c>
      <c r="L63" s="225"/>
    </row>
    <row r="64" spans="1:12" s="133" customFormat="1" ht="21" x14ac:dyDescent="0.2">
      <c r="A64" s="153" t="s">
        <v>28</v>
      </c>
      <c r="B64" s="134">
        <v>612.52500499999996</v>
      </c>
      <c r="C64" s="91">
        <f>457.591+145.423</f>
        <v>603.01400000000001</v>
      </c>
      <c r="D64" s="245">
        <f>457.591+145.423</f>
        <v>603.01400000000001</v>
      </c>
      <c r="E64" s="91">
        <f>Таблица224627910121314574549[[#This Row],[Столбец2]]-Таблица224627910121314574549[[#This Row],[Столбец3]]</f>
        <v>-9.5110049999999546</v>
      </c>
      <c r="F64" s="134">
        <f>Таблица224627910121314574549[[#This Row],[Столбец2]]*100/Таблица224627910121314574549[[#This Row],[Столбец3]]-100</f>
        <v>-1.5527537524774147</v>
      </c>
      <c r="G64" s="134">
        <f t="shared" si="0"/>
        <v>0.42552711452290803</v>
      </c>
      <c r="H64" s="188">
        <f t="shared" si="1"/>
        <v>0.36525494566731681</v>
      </c>
      <c r="I64" s="205">
        <f>Таблица224627910121314574549[[#This Row],[Столбец3]]*12.7%</f>
        <v>77.790675634999999</v>
      </c>
      <c r="J64" s="205"/>
      <c r="K64" s="225">
        <f>5498.2-Таблица224627910121314574549[[#This Row],[Столбец4]]</f>
        <v>4895.1859999999997</v>
      </c>
      <c r="L64" s="225"/>
    </row>
    <row r="65" spans="1:15" s="133" customFormat="1" ht="21" x14ac:dyDescent="0.2">
      <c r="A65" s="153" t="s">
        <v>29</v>
      </c>
      <c r="B65" s="134">
        <v>1159.0552949999999</v>
      </c>
      <c r="C65" s="134">
        <v>1159.0552949999999</v>
      </c>
      <c r="D65" s="134">
        <v>1159.0552949999999</v>
      </c>
      <c r="E65" s="91">
        <f>Таблица224627910121314574549[[#This Row],[Столбец2]]-Таблица224627910121314574549[[#This Row],[Столбец3]]</f>
        <v>0</v>
      </c>
      <c r="F65" s="134">
        <f>Таблица224627910121314574549[[#This Row],[Столбец2]]*100/Таблица224627910121314574549[[#This Row],[Столбец3]]-100</f>
        <v>0</v>
      </c>
      <c r="G65" s="134">
        <f t="shared" si="0"/>
        <v>0.80520705477786647</v>
      </c>
      <c r="H65" s="188">
        <f t="shared" si="1"/>
        <v>0.70205779434746263</v>
      </c>
      <c r="I65" s="205">
        <f>Таблица224627910121314574549[[#This Row],[Столбец3]]*12.7%</f>
        <v>147.20002246499999</v>
      </c>
      <c r="J65" s="205"/>
      <c r="K65" s="225">
        <f>5498.2-Таблица224627910121314574549[[#This Row],[Столбец4]]</f>
        <v>4339.1447049999997</v>
      </c>
      <c r="L65" s="225"/>
    </row>
    <row r="66" spans="1:15" s="133" customFormat="1" ht="21" x14ac:dyDescent="0.2">
      <c r="A66" s="151" t="s">
        <v>47</v>
      </c>
      <c r="B66" s="86">
        <f>SUM(B67,B72,B73)</f>
        <v>3488.9271859999999</v>
      </c>
      <c r="C66" s="86">
        <f>SUM(C67,C72,C73)</f>
        <v>4038.4041130000001</v>
      </c>
      <c r="D66" s="240">
        <f>SUM(D67,D72,D73)</f>
        <v>4135.0081129999999</v>
      </c>
      <c r="E66" s="86">
        <f>Таблица224627910121314574549[[#This Row],[Столбец2]]-Таблица224627910121314574549[[#This Row],[Столбец3]]</f>
        <v>646.08092699999997</v>
      </c>
      <c r="F66" s="86">
        <f>Таблица224627910121314574549[[#This Row],[Столбец2]]*100/Таблица224627910121314574549[[#This Row],[Столбец3]]-100</f>
        <v>18.518039860290742</v>
      </c>
      <c r="G66" s="86">
        <f t="shared" si="0"/>
        <v>2.4237918552224809</v>
      </c>
      <c r="H66" s="87">
        <f t="shared" si="1"/>
        <v>2.5046386379880552</v>
      </c>
      <c r="I66" s="205">
        <f>Таблица224627910121314574549[[#This Row],[Столбец3]]*12.7%</f>
        <v>443.09375262200001</v>
      </c>
      <c r="J66" s="205"/>
      <c r="K66" s="225">
        <f>5498.2-Таблица224627910121314574549[[#This Row],[Столбец4]]</f>
        <v>1459.7958869999998</v>
      </c>
      <c r="L66" s="225"/>
    </row>
    <row r="67" spans="1:15" s="133" customFormat="1" ht="21" x14ac:dyDescent="0.2">
      <c r="A67" s="153" t="s">
        <v>27</v>
      </c>
      <c r="B67" s="134">
        <f>SUM(B68:B71)</f>
        <v>2773.984019</v>
      </c>
      <c r="C67" s="91">
        <f>SUM(C68:C71)</f>
        <v>3458.3</v>
      </c>
      <c r="D67" s="245">
        <f>SUM(D68:D71)</f>
        <v>3519.1490000000003</v>
      </c>
      <c r="E67" s="91">
        <f>Таблица224627910121314574549[[#This Row],[Столбец2]]-Таблица224627910121314574549[[#This Row],[Столбец3]]</f>
        <v>745.16498100000035</v>
      </c>
      <c r="F67" s="134">
        <f>Таблица224627910121314574549[[#This Row],[Столбец2]]*100/Таблица224627910121314574549[[#This Row],[Столбец3]]-100</f>
        <v>26.862627033757263</v>
      </c>
      <c r="G67" s="134">
        <f t="shared" si="0"/>
        <v>1.927113841397756</v>
      </c>
      <c r="H67" s="188">
        <f t="shared" si="1"/>
        <v>2.1316032078694565</v>
      </c>
      <c r="I67" s="205">
        <f>Таблица224627910121314574549[[#This Row],[Столбец3]]*12.7%</f>
        <v>352.29597041300002</v>
      </c>
      <c r="J67" s="205"/>
      <c r="K67" s="225">
        <f>5498.2-Таблица224627910121314574549[[#This Row],[Столбец4]]</f>
        <v>2039.8999999999996</v>
      </c>
      <c r="L67" s="225"/>
    </row>
    <row r="68" spans="1:15" s="133" customFormat="1" ht="21" x14ac:dyDescent="0.2">
      <c r="A68" s="149" t="s">
        <v>33</v>
      </c>
      <c r="B68" s="134">
        <v>1910.3815689999999</v>
      </c>
      <c r="C68" s="91">
        <v>2572.8000000000002</v>
      </c>
      <c r="D68" s="245">
        <v>2572.8000000000002</v>
      </c>
      <c r="E68" s="91">
        <f>Таблица224627910121314574549[[#This Row],[Столбец2]]-Таблица224627910121314574549[[#This Row],[Столбец3]]</f>
        <v>662.41843100000028</v>
      </c>
      <c r="F68" s="134">
        <f>Таблица224627910121314574549[[#This Row],[Столбец2]]*100/Таблица224627910121314574549[[#This Row],[Столбец3]]-100</f>
        <v>34.67466613733859</v>
      </c>
      <c r="G68" s="134">
        <f t="shared" si="0"/>
        <v>1.3271607690437319</v>
      </c>
      <c r="H68" s="188">
        <f t="shared" si="1"/>
        <v>1.5583849201061215</v>
      </c>
      <c r="I68" s="205">
        <f>Таблица224627910121314574549[[#This Row],[Столбец3]]*12.7%</f>
        <v>242.61845926299998</v>
      </c>
      <c r="J68" s="205"/>
      <c r="K68" s="225">
        <f>5498.2-Таблица224627910121314574549[[#This Row],[Столбец4]]</f>
        <v>2925.3999999999996</v>
      </c>
      <c r="L68" s="225"/>
      <c r="O68" s="210"/>
    </row>
    <row r="69" spans="1:15" s="133" customFormat="1" ht="21" x14ac:dyDescent="0.2">
      <c r="A69" s="149" t="s">
        <v>34</v>
      </c>
      <c r="B69" s="154">
        <v>93.156999999999996</v>
      </c>
      <c r="C69" s="99">
        <v>78.3</v>
      </c>
      <c r="D69" s="246">
        <v>103.949</v>
      </c>
      <c r="E69" s="99">
        <f>Таблица224627910121314574549[[#This Row],[Столбец2]]-Таблица224627910121314574549[[#This Row],[Столбец3]]</f>
        <v>10.792000000000002</v>
      </c>
      <c r="F69" s="154">
        <f>Таблица224627910121314574549[[#This Row],[Столбец2]]*100/Таблица224627910121314574549[[#This Row],[Столбец3]]-100</f>
        <v>11.58474403426473</v>
      </c>
      <c r="G69" s="154">
        <f t="shared" si="0"/>
        <v>6.4717079440063913E-2</v>
      </c>
      <c r="H69" s="190">
        <f t="shared" si="1"/>
        <v>6.2963523810677546E-2</v>
      </c>
      <c r="I69" s="205">
        <f>Таблица224627910121314574549[[#This Row],[Столбец3]]*12.7%</f>
        <v>11.830938999999999</v>
      </c>
      <c r="J69" s="205"/>
      <c r="K69" s="225">
        <f>5498.2-Таблица224627910121314574549[[#This Row],[Столбец4]]</f>
        <v>5419.9</v>
      </c>
      <c r="L69" s="225"/>
    </row>
    <row r="70" spans="1:15" s="133" customFormat="1" ht="21" outlineLevel="1" x14ac:dyDescent="0.2">
      <c r="A70" s="149" t="s">
        <v>35</v>
      </c>
      <c r="B70" s="132">
        <v>701.47239200000001</v>
      </c>
      <c r="C70" s="96">
        <v>733.406432</v>
      </c>
      <c r="D70" s="243">
        <v>768.48045200000001</v>
      </c>
      <c r="E70" s="96">
        <f>Таблица224627910121314574549[[#This Row],[Столбец2]]-Таблица224627910121314574549[[#This Row],[Столбец3]]</f>
        <v>67.00806</v>
      </c>
      <c r="F70" s="132">
        <f>Таблица224627910121314574549[[#This Row],[Столбец2]]*100/Таблица224627910121314574549[[#This Row],[Столбец3]]-100</f>
        <v>9.5524871348037408</v>
      </c>
      <c r="G70" s="132">
        <f t="shared" si="0"/>
        <v>0.4873197346208622</v>
      </c>
      <c r="H70" s="189">
        <f t="shared" si="1"/>
        <v>0.46548054562855101</v>
      </c>
      <c r="I70" s="205">
        <f>Таблица224627910121314574549[[#This Row],[Столбец3]]*12.7%</f>
        <v>89.086993784000001</v>
      </c>
      <c r="J70" s="205"/>
      <c r="K70" s="225">
        <f>5498.2-Таблица224627910121314574549[[#This Row],[Столбец4]]</f>
        <v>4764.7935680000001</v>
      </c>
      <c r="L70" s="225"/>
    </row>
    <row r="71" spans="1:15" s="133" customFormat="1" ht="21" outlineLevel="1" x14ac:dyDescent="0.2">
      <c r="A71" s="229" t="s">
        <v>102</v>
      </c>
      <c r="B71" s="199">
        <v>68.973057999999995</v>
      </c>
      <c r="C71" s="243">
        <v>73.793567999999993</v>
      </c>
      <c r="D71" s="243">
        <v>73.919547999999992</v>
      </c>
      <c r="E71" s="96">
        <f>Таблица224627910121314574549[[#This Row],[Столбец2]]-Таблица224627910121314574549[[#This Row],[Столбец3]]</f>
        <v>4.9464899999999972</v>
      </c>
      <c r="F71" s="132">
        <f>Таблица224627910121314574549[[#This Row],[Столбец2]]*100/Таблица224627910121314574549[[#This Row],[Столбец3]]-100</f>
        <v>7.1716263472035706</v>
      </c>
      <c r="G71" s="132">
        <f t="shared" si="0"/>
        <v>4.7916258293098056E-2</v>
      </c>
      <c r="H71" s="189">
        <f t="shared" si="1"/>
        <v>4.477421832410626E-2</v>
      </c>
      <c r="I71" s="228">
        <f>Таблица224627910121314574549[[#This Row],[Столбец3]]*12.7%</f>
        <v>8.7595783659999995</v>
      </c>
      <c r="J71" s="225"/>
      <c r="K71" s="228">
        <f>5498.2-Таблица224627910121314574549[[#This Row],[Столбец4]]</f>
        <v>5424.4064319999998</v>
      </c>
      <c r="L71" s="226">
        <f>C74-5742</f>
        <v>9</v>
      </c>
    </row>
    <row r="72" spans="1:15" s="133" customFormat="1" ht="21" x14ac:dyDescent="0.2">
      <c r="A72" s="153" t="s">
        <v>28</v>
      </c>
      <c r="B72" s="134">
        <v>368.03905400000002</v>
      </c>
      <c r="C72" s="91">
        <v>233.2</v>
      </c>
      <c r="D72" s="245">
        <v>268.95499999999998</v>
      </c>
      <c r="E72" s="91">
        <f>Таблица224627910121314574549[[#This Row],[Столбец2]]-Таблица224627910121314574549[[#This Row],[Столбец3]]</f>
        <v>-99.084054000000037</v>
      </c>
      <c r="F72" s="134">
        <f>Таблица224627910121314574549[[#This Row],[Столбец2]]*100/Таблица224627910121314574549[[#This Row],[Столбец3]]-100</f>
        <v>-26.922157559941994</v>
      </c>
      <c r="G72" s="134">
        <f t="shared" si="0"/>
        <v>0.25568033207127727</v>
      </c>
      <c r="H72" s="188">
        <f t="shared" si="1"/>
        <v>0.16291022084388285</v>
      </c>
      <c r="I72" s="205">
        <f>Таблица224627910121314574549[[#This Row],[Столбец3]]*12.7%</f>
        <v>46.740959858000004</v>
      </c>
      <c r="J72" s="205"/>
      <c r="K72" s="225">
        <f>5498.2-Таблица224627910121314574549[[#This Row],[Столбец4]]</f>
        <v>5265</v>
      </c>
      <c r="L72" s="225"/>
    </row>
    <row r="73" spans="1:15" s="133" customFormat="1" ht="21" x14ac:dyDescent="0.2">
      <c r="A73" s="153" t="s">
        <v>29</v>
      </c>
      <c r="B73" s="134">
        <v>346.904113</v>
      </c>
      <c r="C73" s="134">
        <v>346.904113</v>
      </c>
      <c r="D73" s="134">
        <v>346.904113</v>
      </c>
      <c r="E73" s="91">
        <f>Таблица224627910121314574549[[#This Row],[Столбец2]]-Таблица224627910121314574549[[#This Row],[Столбец3]]</f>
        <v>0</v>
      </c>
      <c r="F73" s="134">
        <f>Таблица224627910121314574549[[#This Row],[Столбец2]]*100/Таблица224627910121314574549[[#This Row],[Столбец3]]-100</f>
        <v>0</v>
      </c>
      <c r="G73" s="134">
        <f t="shared" si="0"/>
        <v>0.24099768175344749</v>
      </c>
      <c r="H73" s="188">
        <f t="shared" si="1"/>
        <v>0.2101252092747162</v>
      </c>
      <c r="I73" s="207">
        <f>Таблица224627910121314574549[[#This Row],[Столбец3]]*12.7%</f>
        <v>44.056822351000001</v>
      </c>
      <c r="J73" s="205"/>
      <c r="K73" s="225">
        <f>5498.2-Таблица224627910121314574549[[#This Row],[Столбец4]]</f>
        <v>5151.2958870000002</v>
      </c>
      <c r="L73" s="225"/>
    </row>
    <row r="74" spans="1:15" s="133" customFormat="1" ht="21" x14ac:dyDescent="0.2">
      <c r="A74" s="151" t="s">
        <v>3</v>
      </c>
      <c r="B74" s="86">
        <f>SUM(B75,B80,B81)</f>
        <v>5533.583568</v>
      </c>
      <c r="C74" s="86">
        <f>SUM(C75,C80,C81)</f>
        <v>5751</v>
      </c>
      <c r="D74" s="240">
        <f>SUM(D75,D80,D81)</f>
        <v>6865.5</v>
      </c>
      <c r="E74" s="86">
        <f>Таблица224627910121314574549[[#This Row],[Столбец2]]-Таблица224627910121314574549[[#This Row],[Столбец3]]</f>
        <v>1331.916432</v>
      </c>
      <c r="F74" s="86">
        <f>Таблица224627910121314574549[[#This Row],[Столбец2]]*100/Таблица224627910121314574549[[#This Row],[Столбец3]]-100</f>
        <v>24.069690384768037</v>
      </c>
      <c r="G74" s="86">
        <f t="shared" si="0"/>
        <v>3.8442346507346556</v>
      </c>
      <c r="H74" s="87">
        <f t="shared" si="1"/>
        <v>4.1585399832822514</v>
      </c>
      <c r="I74" s="205">
        <f>Таблица224627910121314574549[[#This Row],[Столбец3]]*12.7%</f>
        <v>702.76511313599997</v>
      </c>
      <c r="J74" s="205"/>
      <c r="K74" s="225">
        <f>5498.2-Таблица224627910121314574549[[#This Row],[Столбец4]]</f>
        <v>-252.80000000000018</v>
      </c>
      <c r="L74" s="225"/>
    </row>
    <row r="75" spans="1:15" s="133" customFormat="1" ht="21" x14ac:dyDescent="0.2">
      <c r="A75" s="153" t="s">
        <v>27</v>
      </c>
      <c r="B75" s="154">
        <f>B76+B77+B78+B79</f>
        <v>5355.0372319999997</v>
      </c>
      <c r="C75" s="99">
        <f>C76+C77+C78+C79</f>
        <v>5518.8</v>
      </c>
      <c r="D75" s="246">
        <f>D76+D77+D78+D79</f>
        <v>6622.7</v>
      </c>
      <c r="E75" s="99">
        <f>Таблица224627910121314574549[[#This Row],[Столбец2]]-Таблица224627910121314574549[[#This Row],[Столбец3]]</f>
        <v>1267.6627680000001</v>
      </c>
      <c r="F75" s="154">
        <f>Таблица224627910121314574549[[#This Row],[Столбец2]]*100/Таблица224627910121314574549[[#This Row],[Столбец3]]-100</f>
        <v>23.672342750949525</v>
      </c>
      <c r="G75" s="154">
        <f t="shared" si="0"/>
        <v>3.7201967640418214</v>
      </c>
      <c r="H75" s="190">
        <f t="shared" si="1"/>
        <v>4.0114722521714903</v>
      </c>
      <c r="I75" s="205">
        <f>Таблица224627910121314574549[[#This Row],[Столбец3]]*12.7%</f>
        <v>680.08972846400002</v>
      </c>
      <c r="J75" s="205"/>
      <c r="K75" s="225">
        <f>5498.2-Таблица224627910121314574549[[#This Row],[Столбец4]]</f>
        <v>-20.600000000000364</v>
      </c>
      <c r="L75" s="225"/>
    </row>
    <row r="76" spans="1:15" s="133" customFormat="1" ht="21" x14ac:dyDescent="0.2">
      <c r="A76" s="149" t="s">
        <v>33</v>
      </c>
      <c r="B76" s="134">
        <v>100.686148</v>
      </c>
      <c r="C76" s="91">
        <v>141.1</v>
      </c>
      <c r="D76" s="245">
        <v>141.1</v>
      </c>
      <c r="E76" s="91">
        <f>Таблица224627910121314574549[[#This Row],[Столбец2]]-Таблица224627910121314574549[[#This Row],[Столбец3]]</f>
        <v>40.413851999999991</v>
      </c>
      <c r="F76" s="134">
        <f>Таблица224627910121314574549[[#This Row],[Столбец2]]*100/Таблица224627910121314574549[[#This Row],[Столбец3]]-100</f>
        <v>40.138442876968526</v>
      </c>
      <c r="G76" s="134">
        <f t="shared" si="0"/>
        <v>6.9947652228281643E-2</v>
      </c>
      <c r="H76" s="188">
        <f t="shared" si="1"/>
        <v>8.5466461531006579E-2</v>
      </c>
      <c r="I76" s="205">
        <f>Таблица224627910121314574549[[#This Row],[Столбец3]]*12.7%</f>
        <v>12.787140796000001</v>
      </c>
      <c r="J76" s="205"/>
      <c r="K76" s="225">
        <f>5498.2-Таблица224627910121314574549[[#This Row],[Столбец4]]</f>
        <v>5357.0999999999995</v>
      </c>
      <c r="L76" s="225"/>
    </row>
    <row r="77" spans="1:15" s="133" customFormat="1" ht="21" x14ac:dyDescent="0.2">
      <c r="A77" s="149" t="s">
        <v>34</v>
      </c>
      <c r="B77" s="154">
        <v>22.5</v>
      </c>
      <c r="C77" s="99">
        <v>22.4</v>
      </c>
      <c r="D77" s="246">
        <v>25.9</v>
      </c>
      <c r="E77" s="99">
        <f>Таблица224627910121314574549[[#This Row],[Столбец2]]-Таблица224627910121314574549[[#This Row],[Столбец3]]</f>
        <v>3.3999999999999986</v>
      </c>
      <c r="F77" s="154">
        <f>Таблица224627910121314574549[[#This Row],[Столбец2]]*100/Таблица224627910121314574549[[#This Row],[Столбец3]]-100</f>
        <v>15.111111111111114</v>
      </c>
      <c r="G77" s="154">
        <f t="shared" si="0"/>
        <v>1.5630970162214736E-2</v>
      </c>
      <c r="H77" s="190">
        <f t="shared" si="1"/>
        <v>1.5688032272523533E-2</v>
      </c>
      <c r="I77" s="205">
        <f>Таблица224627910121314574549[[#This Row],[Столбец3]]*12.7%</f>
        <v>2.8574999999999999</v>
      </c>
      <c r="J77" s="205"/>
      <c r="K77" s="225">
        <f>5498.2-Таблица224627910121314574549[[#This Row],[Столбец4]]</f>
        <v>5475.8</v>
      </c>
      <c r="L77" s="225"/>
    </row>
    <row r="78" spans="1:15" s="133" customFormat="1" ht="21" outlineLevel="1" x14ac:dyDescent="0.2">
      <c r="A78" s="149" t="s">
        <v>95</v>
      </c>
      <c r="B78" s="155">
        <v>5224.8510839999999</v>
      </c>
      <c r="C78" s="93">
        <v>5348.2</v>
      </c>
      <c r="D78" s="244">
        <v>6448.2</v>
      </c>
      <c r="E78" s="93">
        <f>Таблица224627910121314574549[[#This Row],[Столбец2]]-Таблица224627910121314574549[[#This Row],[Столбец3]]</f>
        <v>1223.3489159999999</v>
      </c>
      <c r="F78" s="155">
        <f>Таблица224627910121314574549[[#This Row],[Столбец2]]*100/Таблица224627910121314574549[[#This Row],[Столбец3]]-100</f>
        <v>23.414043698704589</v>
      </c>
      <c r="G78" s="155">
        <f t="shared" si="0"/>
        <v>3.6297551731564139</v>
      </c>
      <c r="H78" s="191">
        <f t="shared" si="1"/>
        <v>3.9057748918797777</v>
      </c>
      <c r="I78" s="205">
        <f>Таблица224627910121314574549[[#This Row],[Столбец3]]*12.7%</f>
        <v>663.55608766800003</v>
      </c>
      <c r="J78" s="205"/>
      <c r="K78" s="225">
        <f>5498.2-Таблица224627910121314574549[[#This Row],[Столбец4]]</f>
        <v>150</v>
      </c>
      <c r="L78" s="225"/>
    </row>
    <row r="79" spans="1:15" s="133" customFormat="1" ht="21" outlineLevel="1" x14ac:dyDescent="0.2">
      <c r="A79" s="229" t="s">
        <v>102</v>
      </c>
      <c r="B79" s="231">
        <v>7</v>
      </c>
      <c r="C79" s="244">
        <v>7.1</v>
      </c>
      <c r="D79" s="244">
        <v>7.5</v>
      </c>
      <c r="E79" s="93">
        <f>Таблица224627910121314574549[[#This Row],[Столбец2]]-Таблица224627910121314574549[[#This Row],[Столбец3]]</f>
        <v>0.5</v>
      </c>
      <c r="F79" s="155">
        <f>Таблица224627910121314574549[[#This Row],[Столбец2]]*100/Таблица224627910121314574549[[#This Row],[Столбец3]]-100</f>
        <v>7.1428571428571388</v>
      </c>
      <c r="G79" s="155">
        <f t="shared" si="0"/>
        <v>4.8629684949112505E-3</v>
      </c>
      <c r="H79" s="191">
        <f t="shared" si="1"/>
        <v>4.5428664881824905E-3</v>
      </c>
      <c r="I79" s="228">
        <f>Таблица224627910121314574549[[#This Row],[Столбец3]]*12.7%</f>
        <v>0.88900000000000001</v>
      </c>
      <c r="J79" s="225"/>
      <c r="K79" s="228">
        <f>5498.2-Таблица224627910121314574549[[#This Row],[Столбец4]]</f>
        <v>5491.0999999999995</v>
      </c>
      <c r="L79" s="225"/>
    </row>
    <row r="80" spans="1:15" s="136" customFormat="1" ht="21" x14ac:dyDescent="0.2">
      <c r="A80" s="153" t="s">
        <v>28</v>
      </c>
      <c r="B80" s="134">
        <v>0</v>
      </c>
      <c r="C80" s="91">
        <v>53.7</v>
      </c>
      <c r="D80" s="245">
        <v>53.7</v>
      </c>
      <c r="E80" s="91">
        <f>Таблица224627910121314574549[[#This Row],[Столбец2]]-Таблица224627910121314574549[[#This Row],[Столбец3]]</f>
        <v>53.7</v>
      </c>
      <c r="F80" s="134"/>
      <c r="G80" s="134">
        <f t="shared" si="0"/>
        <v>0</v>
      </c>
      <c r="H80" s="188">
        <f t="shared" si="1"/>
        <v>3.2526924055386632E-2</v>
      </c>
      <c r="I80" s="205">
        <f>Таблица224627910121314574549[[#This Row],[Столбец3]]*12.7%</f>
        <v>0</v>
      </c>
      <c r="J80" s="205"/>
      <c r="K80" s="225">
        <f>5498.2-Таблица224627910121314574549[[#This Row],[Столбец4]]</f>
        <v>5444.5</v>
      </c>
      <c r="L80" s="225"/>
    </row>
    <row r="81" spans="1:12" s="133" customFormat="1" ht="21" x14ac:dyDescent="0.2">
      <c r="A81" s="153" t="s">
        <v>29</v>
      </c>
      <c r="B81" s="134">
        <v>178.546336</v>
      </c>
      <c r="C81" s="91">
        <v>178.5</v>
      </c>
      <c r="D81" s="245">
        <v>189.1</v>
      </c>
      <c r="E81" s="91">
        <f>Таблица224627910121314574549[[#This Row],[Столбец2]]-Таблица224627910121314574549[[#This Row],[Столбец3]]</f>
        <v>10.553663999999998</v>
      </c>
      <c r="F81" s="134">
        <f>Таблица224627910121314574549[[#This Row],[Столбец2]]*100/Таблица224627910121314574549[[#This Row],[Столбец3]]-100</f>
        <v>5.9108824277413419</v>
      </c>
      <c r="G81" s="134">
        <f t="shared" si="0"/>
        <v>0.12403788669283407</v>
      </c>
      <c r="H81" s="188">
        <f t="shared" si="1"/>
        <v>0.11454080705537451</v>
      </c>
      <c r="I81" s="205">
        <f>Таблица224627910121314574549[[#This Row],[Столбец3]]*12.7%</f>
        <v>22.675384672</v>
      </c>
      <c r="J81" s="205"/>
      <c r="K81" s="225">
        <f>5498.2-Таблица224627910121314574549[[#This Row],[Столбец4]]</f>
        <v>5319.7</v>
      </c>
      <c r="L81" s="225"/>
    </row>
    <row r="82" spans="1:12" s="133" customFormat="1" ht="21" x14ac:dyDescent="0.2">
      <c r="A82" s="151" t="s">
        <v>10</v>
      </c>
      <c r="B82" s="135">
        <f>SUM(B83,B88,B89)</f>
        <v>1716.7300949999999</v>
      </c>
      <c r="C82" s="86">
        <f>SUM(C83,C88,C89)</f>
        <v>1548.0409659999998</v>
      </c>
      <c r="D82" s="240">
        <f>SUM(D83,D88,D89)</f>
        <v>1755.2750150000002</v>
      </c>
      <c r="E82" s="86">
        <f>Таблица224627910121314574549[[#This Row],[Столбец2]]-Таблица224627910121314574549[[#This Row],[Столбец3]]</f>
        <v>38.544920000000275</v>
      </c>
      <c r="F82" s="135">
        <f>Таблица224627910121314574549[[#This Row],[Столбец2]]*100/Таблица224627910121314574549[[#This Row],[Столбец3]]-100</f>
        <v>2.245252186832559</v>
      </c>
      <c r="G82" s="135">
        <f t="shared" si="0"/>
        <v>1.192629195178714</v>
      </c>
      <c r="H82" s="186">
        <f t="shared" si="1"/>
        <v>1.0631973390916691</v>
      </c>
      <c r="I82" s="205">
        <f>Таблица224627910121314574549[[#This Row],[Столбец3]]*12.7%</f>
        <v>218.02472206499999</v>
      </c>
      <c r="J82" s="205"/>
      <c r="K82" s="225">
        <f>5498.2-Таблица224627910121314574549[[#This Row],[Столбец4]]</f>
        <v>3950.1590340000002</v>
      </c>
      <c r="L82" s="225"/>
    </row>
    <row r="83" spans="1:12" s="133" customFormat="1" ht="21" x14ac:dyDescent="0.2">
      <c r="A83" s="153" t="s">
        <v>27</v>
      </c>
      <c r="B83" s="154">
        <f>B84+B85+B86+B87</f>
        <v>1300.370281</v>
      </c>
      <c r="C83" s="99">
        <f>C84+C85+C86+C87</f>
        <v>1396.608426</v>
      </c>
      <c r="D83" s="246">
        <f>D84+D85+D86+D87</f>
        <v>1597.880975</v>
      </c>
      <c r="E83" s="99">
        <f>Таблица224627910121314574549[[#This Row],[Столбец2]]-Таблица224627910121314574549[[#This Row],[Столбец3]]</f>
        <v>297.51069400000006</v>
      </c>
      <c r="F83" s="154">
        <f>Таблица224627910121314574549[[#This Row],[Столбец2]]*100/Таблица224627910121314574549[[#This Row],[Столбец3]]-100</f>
        <v>22.878921361630233</v>
      </c>
      <c r="G83" s="154">
        <f t="shared" si="0"/>
        <v>0.90337995831741291</v>
      </c>
      <c r="H83" s="190">
        <f t="shared" si="1"/>
        <v>0.96786132445758166</v>
      </c>
      <c r="I83" s="205">
        <f>Таблица224627910121314574549[[#This Row],[Столбец3]]*12.7%</f>
        <v>165.147025687</v>
      </c>
      <c r="J83" s="205"/>
      <c r="K83" s="225">
        <f>5498.2-Таблица224627910121314574549[[#This Row],[Столбец4]]</f>
        <v>4101.591574</v>
      </c>
      <c r="L83" s="225"/>
    </row>
    <row r="84" spans="1:12" s="133" customFormat="1" ht="21" x14ac:dyDescent="0.2">
      <c r="A84" s="149" t="s">
        <v>33</v>
      </c>
      <c r="B84" s="134">
        <v>254.417494</v>
      </c>
      <c r="C84" s="248">
        <v>358.19085200000001</v>
      </c>
      <c r="D84" s="245">
        <v>358.05729200000002</v>
      </c>
      <c r="E84" s="91">
        <f>Таблица224627910121314574549[[#This Row],[Столбец2]]-Таблица224627910121314574549[[#This Row],[Столбец3]]</f>
        <v>103.63979800000001</v>
      </c>
      <c r="F84" s="134">
        <f>Таблица224627910121314574549[[#This Row],[Столбец2]]*100/Таблица224627910121314574549[[#This Row],[Столбец3]]-100</f>
        <v>40.736113059898315</v>
      </c>
      <c r="G84" s="134">
        <f t="shared" ref="G84:G151" si="5">B84/$B$8*100</f>
        <v>0.17674632255375317</v>
      </c>
      <c r="H84" s="188">
        <f t="shared" ref="H84:H151" si="6">D84/$D$8*100</f>
        <v>0.21688086302348969</v>
      </c>
      <c r="I84" s="207">
        <f>Таблица224627910121314574549[[#This Row],[Столбец3]]*12.7%</f>
        <v>32.311021738000001</v>
      </c>
      <c r="J84" s="205"/>
      <c r="K84" s="225">
        <f>5498.2-Таблица224627910121314574549[[#This Row],[Столбец4]]</f>
        <v>5140.0091480000001</v>
      </c>
      <c r="L84" s="225"/>
    </row>
    <row r="85" spans="1:12" s="133" customFormat="1" ht="21" x14ac:dyDescent="0.2">
      <c r="A85" s="149" t="s">
        <v>34</v>
      </c>
      <c r="B85" s="154">
        <v>460.42399999999998</v>
      </c>
      <c r="C85" s="249">
        <v>450.05500000000001</v>
      </c>
      <c r="D85" s="246">
        <v>579.69730000000004</v>
      </c>
      <c r="E85" s="99">
        <f>Таблица224627910121314574549[[#This Row],[Столбец2]]-Таблица224627910121314574549[[#This Row],[Столбец3]]</f>
        <v>119.27330000000006</v>
      </c>
      <c r="F85" s="154">
        <f>Таблица224627910121314574549[[#This Row],[Столбец2]]*100/Таблица224627910121314574549[[#This Row],[Столбец3]]-100</f>
        <v>25.90510051604609</v>
      </c>
      <c r="G85" s="154">
        <f t="shared" si="5"/>
        <v>0.31986105804300252</v>
      </c>
      <c r="H85" s="190">
        <f t="shared" si="6"/>
        <v>0.35113165832798288</v>
      </c>
      <c r="I85" s="205">
        <f>Таблица224627910121314574549[[#This Row],[Столбец3]]*12.7%</f>
        <v>58.473847999999997</v>
      </c>
      <c r="J85" s="205"/>
      <c r="K85" s="225">
        <f>5498.2-Таблица224627910121314574549[[#This Row],[Столбец4]]</f>
        <v>5048.1449999999995</v>
      </c>
      <c r="L85" s="225"/>
    </row>
    <row r="86" spans="1:12" s="133" customFormat="1" ht="21" outlineLevel="1" x14ac:dyDescent="0.2">
      <c r="A86" s="149" t="s">
        <v>35</v>
      </c>
      <c r="B86" s="132">
        <v>567.24038399999995</v>
      </c>
      <c r="C86" s="96">
        <v>568.30203099999994</v>
      </c>
      <c r="D86" s="243">
        <v>638.23072200000001</v>
      </c>
      <c r="E86" s="96">
        <f>Таблица224627910121314574549[[#This Row],[Столбец2]]-Таблица224627910121314574549[[#This Row],[Столбец3]]</f>
        <v>70.990338000000065</v>
      </c>
      <c r="F86" s="132">
        <f>Таблица224627910121314574549[[#This Row],[Столбец2]]*100/Таблица224627910121314574549[[#This Row],[Столбец3]]-100</f>
        <v>12.515035953434534</v>
      </c>
      <c r="G86" s="132">
        <f>B85/$B$8*100</f>
        <v>0.31986105804300252</v>
      </c>
      <c r="H86" s="189">
        <f>D85/$D$8*100</f>
        <v>0.35113165832798288</v>
      </c>
      <c r="I86" s="205">
        <f>Таблица224627910121314574549[[#This Row],[Столбец3]]*12.7%</f>
        <v>72.039528767999997</v>
      </c>
      <c r="J86" s="205"/>
      <c r="K86" s="225">
        <f>5498.2-Таблица224627910121314574549[[#This Row],[Столбец4]]</f>
        <v>4929.8979689999996</v>
      </c>
      <c r="L86" s="225"/>
    </row>
    <row r="87" spans="1:12" s="133" customFormat="1" ht="21" outlineLevel="1" x14ac:dyDescent="0.2">
      <c r="A87" s="229" t="s">
        <v>102</v>
      </c>
      <c r="B87" s="132">
        <v>18.288402999999999</v>
      </c>
      <c r="C87" s="96">
        <v>20.060542999999999</v>
      </c>
      <c r="D87" s="243">
        <v>21.895661</v>
      </c>
      <c r="E87" s="96">
        <f>Таблица224627910121314574549[[#This Row],[Столбец2]]-Таблица224627910121314574549[[#This Row],[Столбец3]]</f>
        <v>3.6072580000000016</v>
      </c>
      <c r="F87" s="132">
        <f>Таблица224627910121314574549[[#This Row],[Столбец2]]*100/Таблица224627910121314574549[[#This Row],[Столбец3]]-100</f>
        <v>19.724291946103776</v>
      </c>
      <c r="G87" s="132">
        <f>B86/$B$8*100</f>
        <v>0.39406744520476572</v>
      </c>
      <c r="H87" s="189">
        <f>D86/$D$8*100</f>
        <v>0.38658626116030864</v>
      </c>
      <c r="I87" s="228">
        <f>Таблица224627910121314574549[[#This Row],[Столбец3]]*12.7%</f>
        <v>2.3226271810000001</v>
      </c>
      <c r="J87" s="225"/>
      <c r="K87" s="228">
        <f>5498.2-Таблица224627910121314574549[[#This Row],[Столбец4]]</f>
        <v>5478.1394570000002</v>
      </c>
      <c r="L87" s="225"/>
    </row>
    <row r="88" spans="1:12" s="133" customFormat="1" ht="21" x14ac:dyDescent="0.2">
      <c r="A88" s="153" t="s">
        <v>28</v>
      </c>
      <c r="B88" s="134">
        <v>380.12805400000002</v>
      </c>
      <c r="C88" s="91">
        <v>115.1861</v>
      </c>
      <c r="D88" s="245">
        <v>121.15075</v>
      </c>
      <c r="E88" s="91">
        <f>Таблица224627910121314574549[[#This Row],[Столбец2]]-Таблица224627910121314574549[[#This Row],[Столбец3]]</f>
        <v>-258.977304</v>
      </c>
      <c r="F88" s="134">
        <f>Таблица224627910121314574549[[#This Row],[Столбец2]]*100/Таблица224627910121314574549[[#This Row],[Столбец3]]-100</f>
        <v>-68.128963720209924</v>
      </c>
      <c r="G88" s="134">
        <f t="shared" si="5"/>
        <v>0.26407867866198897</v>
      </c>
      <c r="H88" s="188">
        <f t="shared" si="6"/>
        <v>7.338289095908998E-2</v>
      </c>
      <c r="I88" s="205">
        <f>Таблица224627910121314574549[[#This Row],[Столбец3]]*12.7%</f>
        <v>48.276262858000003</v>
      </c>
      <c r="J88" s="205"/>
      <c r="K88" s="225">
        <f>5498.2-Таблица224627910121314574549[[#This Row],[Столбец4]]</f>
        <v>5383.0138999999999</v>
      </c>
      <c r="L88" s="225"/>
    </row>
    <row r="89" spans="1:12" s="136" customFormat="1" ht="21" x14ac:dyDescent="0.2">
      <c r="A89" s="153" t="s">
        <v>29</v>
      </c>
      <c r="B89" s="134">
        <v>36.231760000000001</v>
      </c>
      <c r="C89" s="91">
        <v>36.24644</v>
      </c>
      <c r="D89" s="245">
        <v>36.243290000000002</v>
      </c>
      <c r="E89" s="91">
        <f>Таблица224627910121314574549[[#This Row],[Столбец2]]-Таблица224627910121314574549[[#This Row],[Столбец3]]</f>
        <v>1.1530000000000484E-2</v>
      </c>
      <c r="F89" s="134">
        <f>Таблица224627910121314574549[[#This Row],[Столбец2]]*100/Таблица224627910121314574549[[#This Row],[Столбец3]]-100</f>
        <v>3.1822908961643748E-2</v>
      </c>
      <c r="G89" s="134">
        <f t="shared" si="5"/>
        <v>2.5170558199312239E-2</v>
      </c>
      <c r="H89" s="188">
        <f t="shared" si="6"/>
        <v>2.1953123674997275E-2</v>
      </c>
      <c r="I89" s="205">
        <f>Таблица224627910121314574549[[#This Row],[Столбец3]]*12.7%</f>
        <v>4.6014335200000005</v>
      </c>
      <c r="J89" s="205"/>
      <c r="K89" s="225">
        <f>5498.2-Таблица224627910121314574549[[#This Row],[Столбец4]]</f>
        <v>5461.9535599999999</v>
      </c>
      <c r="L89" s="225"/>
    </row>
    <row r="90" spans="1:12" s="133" customFormat="1" ht="21" x14ac:dyDescent="0.2">
      <c r="A90" s="151" t="s">
        <v>13</v>
      </c>
      <c r="B90" s="135">
        <f>SUM(B91,B96,B97)</f>
        <v>15322.396808</v>
      </c>
      <c r="C90" s="86">
        <f>SUM(C91,C96,C97)</f>
        <v>13686.545595</v>
      </c>
      <c r="D90" s="240">
        <f>SUM(D91,D96,D97)</f>
        <v>15643.221530999999</v>
      </c>
      <c r="E90" s="86">
        <f>Таблица224627910121314574549[[#This Row],[Столбец2]]-Таблица224627910121314574549[[#This Row],[Столбец3]]</f>
        <v>320.82472299999972</v>
      </c>
      <c r="F90" s="135">
        <f>Таблица224627910121314574549[[#This Row],[Столбец2]]*100/Таблица224627910121314574549[[#This Row],[Столбец3]]-100</f>
        <v>2.093828576691692</v>
      </c>
      <c r="G90" s="135">
        <f t="shared" si="5"/>
        <v>10.644618991976101</v>
      </c>
      <c r="H90" s="186">
        <f t="shared" si="6"/>
        <v>9.475342248052625</v>
      </c>
      <c r="I90" s="205">
        <f>Таблица224627910121314574549[[#This Row],[Столбец3]]*12.7%</f>
        <v>1945.944394616</v>
      </c>
      <c r="J90" s="205"/>
      <c r="K90" s="225">
        <f>5498.2-Таблица224627910121314574549[[#This Row],[Столбец4]]</f>
        <v>-8188.3455949999998</v>
      </c>
      <c r="L90" s="225"/>
    </row>
    <row r="91" spans="1:12" s="133" customFormat="1" ht="21" x14ac:dyDescent="0.2">
      <c r="A91" s="153" t="s">
        <v>27</v>
      </c>
      <c r="B91" s="134">
        <f>B99+B107+B115+B123+B130+B138</f>
        <v>5413.7762520000006</v>
      </c>
      <c r="C91" s="91">
        <f t="shared" ref="B91:D92" si="7">C99+C107+C115+C123+C130+C138</f>
        <v>5681.9979700000004</v>
      </c>
      <c r="D91" s="245">
        <f t="shared" si="7"/>
        <v>6168.749116</v>
      </c>
      <c r="E91" s="91">
        <f>Таблица224627910121314574549[[#This Row],[Столбец2]]-Таблица224627910121314574549[[#This Row],[Столбец3]]</f>
        <v>754.97286399999939</v>
      </c>
      <c r="F91" s="134">
        <f>Таблица224627910121314574549[[#This Row],[Столбец2]]*100/Таблица224627910121314574549[[#This Row],[Столбец3]]-100</f>
        <v>13.945402042079067</v>
      </c>
      <c r="G91" s="134">
        <f t="shared" si="5"/>
        <v>3.7610033359963877</v>
      </c>
      <c r="H91" s="188">
        <f t="shared" si="6"/>
        <v>3.7365071510775678</v>
      </c>
      <c r="I91" s="205">
        <f>Таблица224627910121314574549[[#This Row],[Столбец3]]*12.7%</f>
        <v>687.54958400400005</v>
      </c>
      <c r="J91" s="205"/>
      <c r="K91" s="225">
        <f>5498.2-Таблица224627910121314574549[[#This Row],[Столбец4]]</f>
        <v>-183.79797000000053</v>
      </c>
      <c r="L91" s="225"/>
    </row>
    <row r="92" spans="1:12" s="133" customFormat="1" ht="21" x14ac:dyDescent="0.2">
      <c r="A92" s="149" t="s">
        <v>33</v>
      </c>
      <c r="B92" s="134">
        <f t="shared" si="7"/>
        <v>393.222084</v>
      </c>
      <c r="C92" s="91">
        <f t="shared" si="7"/>
        <v>552.5652520000001</v>
      </c>
      <c r="D92" s="245">
        <f t="shared" si="7"/>
        <v>557.52225200000009</v>
      </c>
      <c r="E92" s="91">
        <f>Таблица224627910121314574549[[#This Row],[Столбец2]]-Таблица224627910121314574549[[#This Row],[Столбец3]]</f>
        <v>164.3001680000001</v>
      </c>
      <c r="F92" s="134">
        <f>Таблица224627910121314574549[[#This Row],[Столбец2]]*100/Таблица224627910121314574549[[#This Row],[Столбец3]]-100</f>
        <v>41.783046956233534</v>
      </c>
      <c r="G92" s="134">
        <f t="shared" si="5"/>
        <v>0.27317522942790645</v>
      </c>
      <c r="H92" s="188">
        <f t="shared" si="6"/>
        <v>0.33769988733691114</v>
      </c>
      <c r="I92" s="205">
        <f>Таблица224627910121314574549[[#This Row],[Столбец3]]*12.7%</f>
        <v>49.939204668000002</v>
      </c>
      <c r="J92" s="205"/>
      <c r="K92" s="225">
        <f>5498.2-Таблица224627910121314574549[[#This Row],[Столбец4]]</f>
        <v>4945.6347479999995</v>
      </c>
      <c r="L92" s="225"/>
    </row>
    <row r="93" spans="1:12" s="133" customFormat="1" ht="21" x14ac:dyDescent="0.2">
      <c r="A93" s="149" t="s">
        <v>34</v>
      </c>
      <c r="B93" s="134">
        <f>B101+B109+B117+B125+B132</f>
        <v>3539.8009999999999</v>
      </c>
      <c r="C93" s="91">
        <f>C101+C109+C117+C125+C132</f>
        <v>3521.2820000000002</v>
      </c>
      <c r="D93" s="245">
        <f>D101+D109+D117+D125+D132</f>
        <v>3963.25</v>
      </c>
      <c r="E93" s="91">
        <f>Таблица224627910121314574549[[#This Row],[Столбец2]]-Таблица224627910121314574549[[#This Row],[Столбец3]]</f>
        <v>423.44900000000007</v>
      </c>
      <c r="F93" s="134">
        <f>Таблица224627910121314574549[[#This Row],[Столбец2]]*100/Таблица224627910121314574549[[#This Row],[Столбец3]]-100</f>
        <v>11.962508626897389</v>
      </c>
      <c r="G93" s="134">
        <f t="shared" si="5"/>
        <v>2.4591343916079058</v>
      </c>
      <c r="H93" s="188">
        <f t="shared" si="6"/>
        <v>2.4006020812385671</v>
      </c>
      <c r="I93" s="205">
        <f>Таблица224627910121314574549[[#This Row],[Столбец3]]*12.7%</f>
        <v>449.55472700000001</v>
      </c>
      <c r="J93" s="205"/>
      <c r="K93" s="225">
        <f>5498.2-Таблица224627910121314574549[[#This Row],[Столбец4]]</f>
        <v>1976.9179999999997</v>
      </c>
      <c r="L93" s="225"/>
    </row>
    <row r="94" spans="1:12" s="133" customFormat="1" ht="21" outlineLevel="1" x14ac:dyDescent="0.2">
      <c r="A94" s="149" t="s">
        <v>35</v>
      </c>
      <c r="B94" s="132">
        <f t="shared" ref="B94:D95" si="8">B102+B110+B118+B126+B133+B140</f>
        <v>1429.8050040000001</v>
      </c>
      <c r="C94" s="96">
        <f t="shared" si="8"/>
        <v>1548.3096710000002</v>
      </c>
      <c r="D94" s="243">
        <f t="shared" si="8"/>
        <v>1580.0876880000001</v>
      </c>
      <c r="E94" s="96">
        <f>Таблица224627910121314574549[[#This Row],[Столбец2]]-Таблица224627910121314574549[[#This Row],[Столбец3]]</f>
        <v>150.28268400000002</v>
      </c>
      <c r="F94" s="132">
        <f>Таблица224627910121314574549[[#This Row],[Столбец2]]*100/Таблица224627910121314574549[[#This Row],[Столбец3]]-100</f>
        <v>10.510711850886779</v>
      </c>
      <c r="G94" s="132">
        <f t="shared" si="5"/>
        <v>0.99329952690263656</v>
      </c>
      <c r="H94" s="189">
        <f t="shared" si="6"/>
        <v>0.9570836541606601</v>
      </c>
      <c r="I94" s="205">
        <f>Таблица224627910121314574549[[#This Row],[Столбец3]]*12.7%</f>
        <v>181.58523550800001</v>
      </c>
      <c r="J94" s="205"/>
      <c r="K94" s="225">
        <f>5498.2-Таблица224627910121314574549[[#This Row],[Столбец4]]</f>
        <v>3949.8903289999998</v>
      </c>
      <c r="L94" s="225"/>
    </row>
    <row r="95" spans="1:12" s="133" customFormat="1" ht="21" outlineLevel="1" x14ac:dyDescent="0.2">
      <c r="A95" s="229" t="s">
        <v>102</v>
      </c>
      <c r="B95" s="199">
        <f t="shared" si="8"/>
        <v>50.948163999999991</v>
      </c>
      <c r="C95" s="243">
        <f t="shared" si="8"/>
        <v>59.841047000000003</v>
      </c>
      <c r="D95" s="243">
        <f t="shared" si="8"/>
        <v>67.889176000000006</v>
      </c>
      <c r="E95" s="243">
        <f>Таблица224627910121314574549[[#This Row],[Столбец2]]-Таблица224627910121314574549[[#This Row],[Столбец3]]</f>
        <v>16.941012000000015</v>
      </c>
      <c r="F95" s="199">
        <f>Таблица224627910121314574549[[#This Row],[Столбец2]]*100/Таблица224627910121314574549[[#This Row],[Столбец3]]-100</f>
        <v>33.251467118618876</v>
      </c>
      <c r="G95" s="199">
        <f t="shared" si="5"/>
        <v>3.5394188057938793E-2</v>
      </c>
      <c r="H95" s="230">
        <f t="shared" si="6"/>
        <v>4.1121528341429736E-2</v>
      </c>
      <c r="I95" s="228">
        <f>Таблица224627910121314574549[[#This Row],[Столбец3]]*12.7%</f>
        <v>6.4704168279999994</v>
      </c>
      <c r="J95" s="225"/>
      <c r="K95" s="228">
        <f>5498.2-Таблица224627910121314574549[[#This Row],[Столбец4]]</f>
        <v>5438.3589529999999</v>
      </c>
      <c r="L95" s="225"/>
    </row>
    <row r="96" spans="1:12" s="133" customFormat="1" ht="21" x14ac:dyDescent="0.2">
      <c r="A96" s="153" t="s">
        <v>28</v>
      </c>
      <c r="B96" s="134">
        <f>B104+B112+B120+B135</f>
        <v>9758.2247160000006</v>
      </c>
      <c r="C96" s="91">
        <f>C104+C112+C120+C135</f>
        <v>7855.14</v>
      </c>
      <c r="D96" s="245">
        <f>D104+D112+D120+D135</f>
        <v>9316.48</v>
      </c>
      <c r="E96" s="91">
        <f>Таблица224627910121314574549[[#This Row],[Столбец2]]-Таблица224627910121314574549[[#This Row],[Столбец3]]</f>
        <v>-441.74471600000106</v>
      </c>
      <c r="F96" s="134">
        <f>Таблица224627910121314574549[[#This Row],[Столбец2]]*100/Таблица224627910121314574549[[#This Row],[Столбец3]]-100</f>
        <v>-4.5268963244482023</v>
      </c>
      <c r="G96" s="134">
        <f t="shared" si="5"/>
        <v>6.7791341943103269</v>
      </c>
      <c r="H96" s="188">
        <f t="shared" si="6"/>
        <v>5.6431366373096541</v>
      </c>
      <c r="I96" s="205">
        <f>Таблица224627910121314574549[[#This Row],[Столбец3]]*12.7%</f>
        <v>1239.294538932</v>
      </c>
      <c r="J96" s="205"/>
      <c r="K96" s="225">
        <f>5498.2-Таблица224627910121314574549[[#This Row],[Столбец4]]</f>
        <v>-2356.9400000000005</v>
      </c>
      <c r="L96" s="225"/>
    </row>
    <row r="97" spans="1:12" s="133" customFormat="1" ht="21" x14ac:dyDescent="0.2">
      <c r="A97" s="153" t="s">
        <v>29</v>
      </c>
      <c r="B97" s="134">
        <f>B105+B113+B121+B128+B136+B142</f>
        <v>150.39583999999999</v>
      </c>
      <c r="C97" s="91">
        <f>C105+C113+C121+C128+C136</f>
        <v>149.407625</v>
      </c>
      <c r="D97" s="245">
        <f>D105+D113+D121+D128+D136+D142</f>
        <v>157.99241499999999</v>
      </c>
      <c r="E97" s="91">
        <f>Таблица224627910121314574549[[#This Row],[Столбец2]]-Таблица224627910121314574549[[#This Row],[Столбец3]]</f>
        <v>7.5965750000000014</v>
      </c>
      <c r="F97" s="134">
        <f>Таблица224627910121314574549[[#This Row],[Столбец2]]*100/Таблица224627910121314574549[[#This Row],[Столбец3]]-100</f>
        <v>5.0510539387259712</v>
      </c>
      <c r="G97" s="134">
        <f t="shared" si="5"/>
        <v>0.10448146166938761</v>
      </c>
      <c r="H97" s="188">
        <f t="shared" si="6"/>
        <v>9.5698459665402733E-2</v>
      </c>
      <c r="I97" s="205">
        <f>Таблица224627910121314574549[[#This Row],[Столбец3]]*12.7%</f>
        <v>19.100271679999999</v>
      </c>
      <c r="J97" s="205"/>
      <c r="K97" s="225">
        <f>5498.2-Таблица224627910121314574549[[#This Row],[Столбец4]]</f>
        <v>5348.792375</v>
      </c>
      <c r="L97" s="225"/>
    </row>
    <row r="98" spans="1:12" s="133" customFormat="1" ht="42" x14ac:dyDescent="0.2">
      <c r="A98" s="151" t="s">
        <v>11</v>
      </c>
      <c r="B98" s="135">
        <f>SUM(B99,B104,B105)</f>
        <v>1796.0806439999999</v>
      </c>
      <c r="C98" s="86">
        <f>SUM(C99,C104,C105)</f>
        <v>1749.1670000000004</v>
      </c>
      <c r="D98" s="240">
        <f>SUM(D99,D104,D105)</f>
        <v>1773.3920000000003</v>
      </c>
      <c r="E98" s="86">
        <f>Таблица224627910121314574549[[#This Row],[Столбец2]]-Таблица224627910121314574549[[#This Row],[Столбец3]]</f>
        <v>-22.688643999999613</v>
      </c>
      <c r="F98" s="135">
        <f>Таблица224627910121314574549[[#This Row],[Столбец2]]*100/Таблица224627910121314574549[[#This Row],[Столбец3]]-100</f>
        <v>-1.2632308062443229</v>
      </c>
      <c r="G98" s="135">
        <f t="shared" si="5"/>
        <v>1.2477547980131298</v>
      </c>
      <c r="H98" s="186">
        <f t="shared" si="6"/>
        <v>1.0741710782947897</v>
      </c>
      <c r="I98" s="205">
        <f>Таблица224627910121314574549[[#This Row],[Столбец3]]*12.7%</f>
        <v>228.10224178799999</v>
      </c>
      <c r="J98" s="205"/>
      <c r="K98" s="225">
        <f>5498.2-Таблица224627910121314574549[[#This Row],[Столбец4]]</f>
        <v>3749.0329999999994</v>
      </c>
      <c r="L98" s="225"/>
    </row>
    <row r="99" spans="1:12" s="133" customFormat="1" ht="21" x14ac:dyDescent="0.2">
      <c r="A99" s="153" t="s">
        <v>27</v>
      </c>
      <c r="B99" s="154">
        <f>B100+B101+B102+B103</f>
        <v>1019.665937</v>
      </c>
      <c r="C99" s="99">
        <f>C100+C101+C102+C103</f>
        <v>1141.1360000000002</v>
      </c>
      <c r="D99" s="246">
        <f>D100+D101+D102+D103</f>
        <v>1157.5020000000002</v>
      </c>
      <c r="E99" s="99">
        <f>Таблица224627910121314574549[[#This Row],[Столбец2]]-Таблица224627910121314574549[[#This Row],[Столбец3]]</f>
        <v>137.83606300000019</v>
      </c>
      <c r="F99" s="154">
        <f>Таблица224627910121314574549[[#This Row],[Столбец2]]*100/Таблица224627910121314574549[[#This Row],[Столбец3]]-100</f>
        <v>13.517766750700048</v>
      </c>
      <c r="G99" s="154">
        <f t="shared" si="5"/>
        <v>0.70837190385216575</v>
      </c>
      <c r="H99" s="190">
        <f t="shared" si="6"/>
        <v>0.7011169394405613</v>
      </c>
      <c r="I99" s="205">
        <f>Таблица224627910121314574549[[#This Row],[Столбец3]]*12.7%</f>
        <v>129.497573999</v>
      </c>
      <c r="J99" s="205"/>
      <c r="K99" s="225">
        <f>5498.2-Таблица224627910121314574549[[#This Row],[Столбец4]]</f>
        <v>4357.0639999999994</v>
      </c>
      <c r="L99" s="225"/>
    </row>
    <row r="100" spans="1:12" s="133" customFormat="1" ht="21" x14ac:dyDescent="0.2">
      <c r="A100" s="149" t="s">
        <v>33</v>
      </c>
      <c r="B100" s="154">
        <v>195.23993300000001</v>
      </c>
      <c r="C100" s="99">
        <v>272.27199999999999</v>
      </c>
      <c r="D100" s="246">
        <v>277.22899999999998</v>
      </c>
      <c r="E100" s="99">
        <f>Таблица224627910121314574549[[#This Row],[Столбец2]]-Таблица224627910121314574549[[#This Row],[Столбец3]]</f>
        <v>81.989066999999977</v>
      </c>
      <c r="F100" s="154">
        <f>Таблица224627910121314574549[[#This Row],[Столбец2]]*100/Таблица224627910121314574549[[#This Row],[Столбец3]]-100</f>
        <v>41.99400488423646</v>
      </c>
      <c r="G100" s="154">
        <f t="shared" si="5"/>
        <v>0.13563509187536907</v>
      </c>
      <c r="H100" s="190">
        <f t="shared" si="6"/>
        <v>0.16792191115364577</v>
      </c>
      <c r="I100" s="205">
        <f>Таблица224627910121314574549[[#This Row],[Столбец3]]*12.7%</f>
        <v>24.795471491000001</v>
      </c>
      <c r="J100" s="205"/>
      <c r="K100" s="225">
        <f>5498.2-Таблица224627910121314574549[[#This Row],[Столбец4]]</f>
        <v>5225.9279999999999</v>
      </c>
      <c r="L100" s="225"/>
    </row>
    <row r="101" spans="1:12" s="133" customFormat="1" ht="21" x14ac:dyDescent="0.2">
      <c r="A101" s="149" t="s">
        <v>34</v>
      </c>
      <c r="B101" s="154">
        <v>178.32400000000001</v>
      </c>
      <c r="C101" s="99">
        <v>171.93299999999999</v>
      </c>
      <c r="D101" s="246">
        <v>181.81299999999999</v>
      </c>
      <c r="E101" s="99">
        <f>Таблица224627910121314574549[[#This Row],[Столбец2]]-Таблица224627910121314574549[[#This Row],[Столбец3]]</f>
        <v>3.4889999999999759</v>
      </c>
      <c r="F101" s="154">
        <f>Таблица224627910121314574549[[#This Row],[Столбец2]]*100/Таблица224627910121314574549[[#This Row],[Столбец3]]-100</f>
        <v>1.9565509970615125</v>
      </c>
      <c r="G101" s="154">
        <f t="shared" si="5"/>
        <v>0.12388342769807914</v>
      </c>
      <c r="H101" s="190">
        <f t="shared" si="6"/>
        <v>0.11012695797545641</v>
      </c>
      <c r="I101" s="205">
        <f>Таблица224627910121314574549[[#This Row],[Столбец3]]*12.7%</f>
        <v>22.647148000000001</v>
      </c>
      <c r="J101" s="205"/>
      <c r="K101" s="225">
        <f>5498.2-Таблица224627910121314574549[[#This Row],[Столбец4]]</f>
        <v>5326.2669999999998</v>
      </c>
      <c r="L101" s="225"/>
    </row>
    <row r="102" spans="1:12" s="133" customFormat="1" ht="21" outlineLevel="1" x14ac:dyDescent="0.2">
      <c r="A102" s="149" t="s">
        <v>35</v>
      </c>
      <c r="B102" s="132">
        <v>644.97673099999997</v>
      </c>
      <c r="C102" s="96">
        <v>695.68635400000005</v>
      </c>
      <c r="D102" s="243">
        <v>697.12176800000009</v>
      </c>
      <c r="E102" s="96">
        <f>Таблица224627910121314574549[[#This Row],[Столбец2]]-Таблица224627910121314574549[[#This Row],[Столбец3]]</f>
        <v>52.145037000000116</v>
      </c>
      <c r="F102" s="132">
        <f>Таблица224627910121314574549[[#This Row],[Столбец2]]*100/Таблица224627910121314574549[[#This Row],[Столбец3]]-100</f>
        <v>8.0847935272257416</v>
      </c>
      <c r="G102" s="132">
        <f t="shared" si="5"/>
        <v>0.44807164611483546</v>
      </c>
      <c r="H102" s="189">
        <f t="shared" si="6"/>
        <v>0.42225748240396382</v>
      </c>
      <c r="I102" s="205">
        <f>Таблица224627910121314574549[[#This Row],[Столбец3]]*12.7%</f>
        <v>81.912044836999996</v>
      </c>
      <c r="J102" s="205"/>
      <c r="K102" s="225">
        <f>5498.2-Таблица224627910121314574549[[#This Row],[Столбец4]]</f>
        <v>4802.5136459999994</v>
      </c>
      <c r="L102" s="225"/>
    </row>
    <row r="103" spans="1:12" s="133" customFormat="1" ht="21" outlineLevel="1" x14ac:dyDescent="0.2">
      <c r="A103" s="229" t="s">
        <v>102</v>
      </c>
      <c r="B103" s="199">
        <v>1.125273</v>
      </c>
      <c r="C103" s="243">
        <v>1.2446459999999999</v>
      </c>
      <c r="D103" s="243">
        <v>1.3382320000000001</v>
      </c>
      <c r="E103" s="96">
        <f>Таблица224627910121314574549[[#This Row],[Столбец2]]-Таблица224627910121314574549[[#This Row],[Столбец3]]</f>
        <v>0.21295900000000012</v>
      </c>
      <c r="F103" s="132">
        <f>Таблица224627910121314574549[[#This Row],[Столбец2]]*100/Таблица224627910121314574549[[#This Row],[Столбец3]]-100</f>
        <v>18.925096398829453</v>
      </c>
      <c r="G103" s="132">
        <f t="shared" si="5"/>
        <v>7.8173816388203829E-4</v>
      </c>
      <c r="H103" s="189">
        <f t="shared" si="6"/>
        <v>8.1058790749512406E-4</v>
      </c>
      <c r="I103" s="228">
        <f>Таблица224627910121314574549[[#This Row],[Столбец3]]*12.7%</f>
        <v>0.14290967099999999</v>
      </c>
      <c r="J103" s="225"/>
      <c r="K103" s="228">
        <f>5498.2-Таблица224627910121314574549[[#This Row],[Столбец4]]</f>
        <v>5496.9553539999997</v>
      </c>
      <c r="L103" s="225"/>
    </row>
    <row r="104" spans="1:12" s="133" customFormat="1" ht="21" x14ac:dyDescent="0.2">
      <c r="A104" s="153" t="s">
        <v>28</v>
      </c>
      <c r="B104" s="134">
        <v>706.173047</v>
      </c>
      <c r="C104" s="91">
        <f>503.176+40.022</f>
        <v>543.19799999999998</v>
      </c>
      <c r="D104" s="245">
        <f>509.14+40.022</f>
        <v>549.16200000000003</v>
      </c>
      <c r="E104" s="91">
        <f>Таблица224627910121314574549[[#This Row],[Столбец2]]-Таблица224627910121314574549[[#This Row],[Столбец3]]</f>
        <v>-157.01104699999996</v>
      </c>
      <c r="F104" s="134">
        <f>Таблица224627910121314574549[[#This Row],[Столбец2]]*100/Таблица224627910121314574549[[#This Row],[Столбец3]]-100</f>
        <v>-22.234075297410769</v>
      </c>
      <c r="G104" s="134">
        <f t="shared" si="5"/>
        <v>0.49058532564521173</v>
      </c>
      <c r="H104" s="188">
        <f t="shared" si="6"/>
        <v>0.33263595285110303</v>
      </c>
      <c r="I104" s="205">
        <f>Таблица224627910121314574549[[#This Row],[Столбец3]]*12.7%</f>
        <v>89.683976969</v>
      </c>
      <c r="J104" s="205"/>
      <c r="K104" s="225">
        <f>5498.2-Таблица224627910121314574549[[#This Row],[Столбец4]]</f>
        <v>4955.0019999999995</v>
      </c>
      <c r="L104" s="225"/>
    </row>
    <row r="105" spans="1:12" s="133" customFormat="1" ht="21" x14ac:dyDescent="0.2">
      <c r="A105" s="153" t="s">
        <v>29</v>
      </c>
      <c r="B105" s="134">
        <v>70.241659999999996</v>
      </c>
      <c r="C105" s="91">
        <v>64.832999999999998</v>
      </c>
      <c r="D105" s="245">
        <v>66.727999999999994</v>
      </c>
      <c r="E105" s="91">
        <f>Таблица224627910121314574549[[#This Row],[Столбец2]]-Таблица224627910121314574549[[#This Row],[Столбец3]]</f>
        <v>-3.5136600000000016</v>
      </c>
      <c r="F105" s="134">
        <f>Таблица224627910121314574549[[#This Row],[Столбец2]]*100/Таблица224627910121314574549[[#This Row],[Столбец3]]-100</f>
        <v>-5.0022451063941276</v>
      </c>
      <c r="G105" s="134">
        <f t="shared" si="5"/>
        <v>4.8797568515752544E-2</v>
      </c>
      <c r="H105" s="188">
        <f t="shared" si="6"/>
        <v>4.0418186003125488E-2</v>
      </c>
      <c r="I105" s="205">
        <f>Таблица224627910121314574549[[#This Row],[Столбец3]]*12.7%</f>
        <v>8.920690819999999</v>
      </c>
      <c r="J105" s="205"/>
      <c r="K105" s="225">
        <f>5498.2-Таблица224627910121314574549[[#This Row],[Столбец4]]</f>
        <v>5433.3670000000002</v>
      </c>
      <c r="L105" s="225"/>
    </row>
    <row r="106" spans="1:12" s="133" customFormat="1" ht="21" x14ac:dyDescent="0.2">
      <c r="A106" s="151" t="s">
        <v>4</v>
      </c>
      <c r="B106" s="135">
        <f>SUM(B107,B112,B113)</f>
        <v>8123.0747130000009</v>
      </c>
      <c r="C106" s="86">
        <f>SUM(C107,C112,C113)</f>
        <v>6889.9984290000002</v>
      </c>
      <c r="D106" s="240">
        <f>SUM(D107,D112,D113)</f>
        <v>8544.5175049999998</v>
      </c>
      <c r="E106" s="86">
        <f>Таблица224627910121314574549[[#This Row],[Столбец2]]-Таблица224627910121314574549[[#This Row],[Столбец3]]</f>
        <v>421.44279199999892</v>
      </c>
      <c r="F106" s="135">
        <f>Таблица224627910121314574549[[#This Row],[Столбец2]]*100/Таблица224627910121314574549[[#This Row],[Столбец3]]-100</f>
        <v>5.1882176009723366</v>
      </c>
      <c r="G106" s="135">
        <f t="shared" si="5"/>
        <v>5.6431794873041792</v>
      </c>
      <c r="H106" s="186">
        <f t="shared" si="6"/>
        <v>5.1755469641537548</v>
      </c>
      <c r="I106" s="205">
        <f>Таблица224627910121314574549[[#This Row],[Столбец3]]*12.7%</f>
        <v>1031.6304885510001</v>
      </c>
      <c r="J106" s="205"/>
      <c r="K106" s="225">
        <f>5498.2-Таблица224627910121314574549[[#This Row],[Столбец4]]</f>
        <v>-1391.7984290000004</v>
      </c>
      <c r="L106" s="225"/>
    </row>
    <row r="107" spans="1:12" s="133" customFormat="1" ht="21" x14ac:dyDescent="0.2">
      <c r="A107" s="153" t="s">
        <v>27</v>
      </c>
      <c r="B107" s="154">
        <f>B108+B109+B110+B111</f>
        <v>2897.3151730000004</v>
      </c>
      <c r="C107" s="99">
        <f>C108+C109+C110+C111</f>
        <v>2903.4844190000003</v>
      </c>
      <c r="D107" s="246">
        <f>D108+D109+D110+D111</f>
        <v>3305.4264950000002</v>
      </c>
      <c r="E107" s="99">
        <f>Таблица224627910121314574549[[#This Row],[Столбец2]]-Таблица224627910121314574549[[#This Row],[Столбец3]]</f>
        <v>408.11132199999975</v>
      </c>
      <c r="F107" s="154">
        <f>Таблица224627910121314574549[[#This Row],[Столбец2]]*100/Таблица224627910121314574549[[#This Row],[Столбец3]]-100</f>
        <v>14.085844916120195</v>
      </c>
      <c r="G107" s="154">
        <f t="shared" si="5"/>
        <v>2.0127932008753344</v>
      </c>
      <c r="H107" s="190">
        <f t="shared" si="6"/>
        <v>2.0021481671048011</v>
      </c>
      <c r="I107" s="205">
        <f>Таблица224627910121314574549[[#This Row],[Столбец3]]*12.7%</f>
        <v>367.95902697100007</v>
      </c>
      <c r="J107" s="205"/>
      <c r="K107" s="225">
        <f>5498.2-Таблица224627910121314574549[[#This Row],[Столбец4]]</f>
        <v>2594.7155809999995</v>
      </c>
      <c r="L107" s="225"/>
    </row>
    <row r="108" spans="1:12" s="133" customFormat="1" ht="21" x14ac:dyDescent="0.2">
      <c r="A108" s="149" t="s">
        <v>33</v>
      </c>
      <c r="B108" s="134">
        <v>10.904856000000001</v>
      </c>
      <c r="C108" s="91">
        <v>15.387733000000001</v>
      </c>
      <c r="D108" s="245">
        <v>15.387733000000001</v>
      </c>
      <c r="E108" s="91">
        <f>Таблица224627910121314574549[[#This Row],[Столбец2]]-Таблица224627910121314574549[[#This Row],[Столбец3]]</f>
        <v>4.4828770000000002</v>
      </c>
      <c r="F108" s="134">
        <f>Таблица224627910121314574549[[#This Row],[Столбец2]]*100/Таблица224627910121314574549[[#This Row],[Столбец3]]-100</f>
        <v>41.108997679565874</v>
      </c>
      <c r="G108" s="134">
        <f t="shared" si="5"/>
        <v>7.5757101670777035E-3</v>
      </c>
      <c r="H108" s="188">
        <f t="shared" si="6"/>
        <v>9.3205888766399753E-3</v>
      </c>
      <c r="I108" s="205">
        <f>Таблица224627910121314574549[[#This Row],[Столбец3]]*12.7%</f>
        <v>1.3849167120000001</v>
      </c>
      <c r="J108" s="205"/>
      <c r="K108" s="225">
        <f>5498.2-Таблица224627910121314574549[[#This Row],[Столбец4]]</f>
        <v>5482.8122670000002</v>
      </c>
      <c r="L108" s="225"/>
    </row>
    <row r="109" spans="1:12" s="133" customFormat="1" ht="21" x14ac:dyDescent="0.2">
      <c r="A109" s="149" t="s">
        <v>34</v>
      </c>
      <c r="B109" s="154">
        <v>2880.4</v>
      </c>
      <c r="C109" s="99">
        <v>2880.4</v>
      </c>
      <c r="D109" s="246">
        <f>3281.57</f>
        <v>3281.57</v>
      </c>
      <c r="E109" s="99">
        <f>Таблица224627910121314574549[[#This Row],[Столбец2]]-Таблица224627910121314574549[[#This Row],[Столбец3]]</f>
        <v>401.17000000000007</v>
      </c>
      <c r="F109" s="154">
        <f>Таблица224627910121314574549[[#This Row],[Столбец2]]*100/Таблица224627910121314574549[[#This Row],[Столбец3]]-100</f>
        <v>13.927579502846825</v>
      </c>
      <c r="G109" s="154">
        <f t="shared" si="5"/>
        <v>2.0010420646774811</v>
      </c>
      <c r="H109" s="190">
        <f t="shared" si="6"/>
        <v>1.987697917550002</v>
      </c>
      <c r="I109" s="205">
        <f>Таблица224627910121314574549[[#This Row],[Столбец3]]*12.7%</f>
        <v>365.81080000000003</v>
      </c>
      <c r="J109" s="205"/>
      <c r="K109" s="225">
        <f>5498.2-Таблица224627910121314574549[[#This Row],[Столбец4]]</f>
        <v>2617.7999999999997</v>
      </c>
      <c r="L109" s="225"/>
    </row>
    <row r="110" spans="1:12" s="133" customFormat="1" ht="21" outlineLevel="1" x14ac:dyDescent="0.2">
      <c r="A110" s="149" t="s">
        <v>35</v>
      </c>
      <c r="B110" s="132">
        <v>2.3173669999999995</v>
      </c>
      <c r="C110" s="96">
        <v>3.7754059999999998</v>
      </c>
      <c r="D110" s="243">
        <v>4.1910819999999998</v>
      </c>
      <c r="E110" s="96">
        <f>Таблица224627910121314574549[[#This Row],[Столбец2]]-Таблица224627910121314574549[[#This Row],[Столбец3]]</f>
        <v>1.8737150000000002</v>
      </c>
      <c r="F110" s="132">
        <f>Таблица224627910121314574549[[#This Row],[Столбец2]]*100/Таблица224627910121314574549[[#This Row],[Столбец3]]-100</f>
        <v>80.855341428440141</v>
      </c>
      <c r="G110" s="132">
        <f t="shared" si="5"/>
        <v>1.609897530306714E-3</v>
      </c>
      <c r="H110" s="189">
        <f t="shared" si="6"/>
        <v>2.5386034622699796E-3</v>
      </c>
      <c r="I110" s="205">
        <f>Таблица224627910121314574549[[#This Row],[Столбец3]]*12.7%</f>
        <v>0.29430560899999997</v>
      </c>
      <c r="J110" s="205"/>
      <c r="K110" s="225">
        <f>5498.2-Таблица224627910121314574549[[#This Row],[Столбец4]]</f>
        <v>5494.4245940000001</v>
      </c>
      <c r="L110" s="225"/>
    </row>
    <row r="111" spans="1:12" s="133" customFormat="1" ht="21" outlineLevel="1" x14ac:dyDescent="0.2">
      <c r="A111" s="229" t="s">
        <v>102</v>
      </c>
      <c r="B111" s="132">
        <v>3.6929500000000002</v>
      </c>
      <c r="C111" s="247">
        <v>3.9212799999999999</v>
      </c>
      <c r="D111" s="243">
        <v>4.2776800000000001</v>
      </c>
      <c r="E111" s="96">
        <f>Таблица224627910121314574549[[#This Row],[Столбец2]]-Таблица224627910121314574549[[#This Row],[Столбец3]]</f>
        <v>0.58472999999999997</v>
      </c>
      <c r="F111" s="132">
        <f>Таблица224627910121314574549[[#This Row],[Столбец2]]*100/Таблица224627910121314574549[[#This Row],[Столбец3]]-100</f>
        <v>15.8336830988776</v>
      </c>
      <c r="G111" s="132">
        <f>B110/$B$8*100</f>
        <v>1.609897530306714E-3</v>
      </c>
      <c r="H111" s="189">
        <f>D110/$D$8*100</f>
        <v>2.5386034622699796E-3</v>
      </c>
      <c r="I111" s="228">
        <f>Таблица224627910121314574549[[#This Row],[Столбец3]]*12.7%</f>
        <v>0.46900465000000002</v>
      </c>
      <c r="J111" s="225"/>
      <c r="K111" s="228">
        <f>5498.2-Таблица224627910121314574549[[#This Row],[Столбец4]]</f>
        <v>5494.2787200000002</v>
      </c>
      <c r="L111" s="225"/>
    </row>
    <row r="112" spans="1:12" s="133" customFormat="1" ht="21" x14ac:dyDescent="0.2">
      <c r="A112" s="153" t="s">
        <v>28</v>
      </c>
      <c r="B112" s="134">
        <v>5221.6770699999997</v>
      </c>
      <c r="C112" s="91">
        <f>3315.328+665.327</f>
        <v>3980.6549999999997</v>
      </c>
      <c r="D112" s="245">
        <f>3315.328+1917.904</f>
        <v>5233.232</v>
      </c>
      <c r="E112" s="91">
        <f>Таблица224627910121314574549[[#This Row],[Столбец2]]-Таблица224627910121314574549[[#This Row],[Столбец3]]</f>
        <v>11.55493000000024</v>
      </c>
      <c r="F112" s="134">
        <f>Таблица224627910121314574549[[#This Row],[Столбец2]]*100/Таблица224627910121314574549[[#This Row],[Столбец3]]-100</f>
        <v>0.22128771743443565</v>
      </c>
      <c r="G112" s="134">
        <f t="shared" si="5"/>
        <v>3.6275501545729267</v>
      </c>
      <c r="H112" s="188">
        <f t="shared" si="6"/>
        <v>3.1698499036912304</v>
      </c>
      <c r="I112" s="205">
        <f>Таблица224627910121314574549[[#This Row],[Столбец3]]*12.7%</f>
        <v>663.15298788999996</v>
      </c>
      <c r="J112" s="205"/>
      <c r="K112" s="225">
        <f>5498.2-Таблица224627910121314574549[[#This Row],[Столбец4]]</f>
        <v>1517.5450000000001</v>
      </c>
      <c r="L112" s="225"/>
    </row>
    <row r="113" spans="1:12" s="133" customFormat="1" ht="21" x14ac:dyDescent="0.2">
      <c r="A113" s="153" t="s">
        <v>29</v>
      </c>
      <c r="B113" s="154">
        <v>4.0824699999999998</v>
      </c>
      <c r="C113" s="99">
        <v>5.8590099999999996</v>
      </c>
      <c r="D113" s="246">
        <v>5.8590099999999996</v>
      </c>
      <c r="E113" s="99">
        <f>Таблица224627910121314574549[[#This Row],[Столбец2]]-Таблица224627910121314574549[[#This Row],[Столбец3]]</f>
        <v>1.7765399999999998</v>
      </c>
      <c r="F113" s="154">
        <f>Таблица224627910121314574549[[#This Row],[Столбец2]]*100/Таблица224627910121314574549[[#This Row],[Столбец3]]-100</f>
        <v>43.516302630515355</v>
      </c>
      <c r="G113" s="154">
        <f t="shared" si="5"/>
        <v>2.8361318559171904E-3</v>
      </c>
      <c r="H113" s="190">
        <f t="shared" si="6"/>
        <v>3.5488933577234789E-3</v>
      </c>
      <c r="I113" s="205">
        <f>Таблица224627910121314574549[[#This Row],[Столбец3]]*12.7%</f>
        <v>0.51847368999999999</v>
      </c>
      <c r="J113" s="205"/>
      <c r="K113" s="225">
        <f>5498.2-Таблица224627910121314574549[[#This Row],[Столбец4]]</f>
        <v>5492.3409899999997</v>
      </c>
      <c r="L113" s="225"/>
    </row>
    <row r="114" spans="1:12" s="133" customFormat="1" ht="21" x14ac:dyDescent="0.2">
      <c r="A114" s="151" t="s">
        <v>5</v>
      </c>
      <c r="B114" s="135">
        <f>SUM(B115,B120,B121)</f>
        <v>1424.8107479999999</v>
      </c>
      <c r="C114" s="86">
        <f>SUM(C115,C120,C121)</f>
        <v>1538.183</v>
      </c>
      <c r="D114" s="240">
        <f>SUM(D115,D120,D121)</f>
        <v>1591.9240000000002</v>
      </c>
      <c r="E114" s="86">
        <f>Таблица224627910121314574549[[#This Row],[Столбец2]]-Таблица224627910121314574549[[#This Row],[Столбец3]]</f>
        <v>167.11325200000033</v>
      </c>
      <c r="F114" s="135">
        <f>Таблица224627910121314574549[[#This Row],[Столбец2]]*100/Таблица224627910121314574549[[#This Row],[Столбец3]]-100</f>
        <v>11.728803438251461</v>
      </c>
      <c r="G114" s="135">
        <f t="shared" si="5"/>
        <v>0.9898299683907047</v>
      </c>
      <c r="H114" s="186">
        <f t="shared" si="6"/>
        <v>0.96425309217778965</v>
      </c>
      <c r="I114" s="205">
        <f>Таблица224627910121314574549[[#This Row],[Столбец3]]*12.7%</f>
        <v>180.95096499599998</v>
      </c>
      <c r="J114" s="205"/>
      <c r="K114" s="225">
        <f>5498.2-Таблица224627910121314574549[[#This Row],[Столбец4]]</f>
        <v>3960.0169999999998</v>
      </c>
      <c r="L114" s="225"/>
    </row>
    <row r="115" spans="1:12" s="133" customFormat="1" ht="21" x14ac:dyDescent="0.2">
      <c r="A115" s="153" t="s">
        <v>27</v>
      </c>
      <c r="B115" s="154">
        <f>B116+B117+B118+B119</f>
        <v>296.04549399999996</v>
      </c>
      <c r="C115" s="99">
        <f>C116+C117+C118+C119</f>
        <v>352.24</v>
      </c>
      <c r="D115" s="246">
        <f>D116+D117+D118+D119</f>
        <v>379.327</v>
      </c>
      <c r="E115" s="99">
        <f>Таблица224627910121314574549[[#This Row],[Столбец2]]-Таблица224627910121314574549[[#This Row],[Столбец3]]</f>
        <v>83.281506000000036</v>
      </c>
      <c r="F115" s="154">
        <f>Таблица224627910121314574549[[#This Row],[Столбец2]]*100/Таблица224627910121314574549[[#This Row],[Столбец3]]-100</f>
        <v>28.131320249042545</v>
      </c>
      <c r="G115" s="154">
        <f t="shared" si="5"/>
        <v>0.20566570148320534</v>
      </c>
      <c r="H115" s="190">
        <f t="shared" si="6"/>
        <v>0.2297642555150399</v>
      </c>
      <c r="I115" s="205">
        <f>Таблица224627910121314574549[[#This Row],[Столбец3]]*12.7%</f>
        <v>37.597777737999998</v>
      </c>
      <c r="J115" s="205"/>
      <c r="K115" s="225">
        <f>5498.2-Таблица224627910121314574549[[#This Row],[Столбец4]]</f>
        <v>5145.96</v>
      </c>
      <c r="L115" s="225"/>
    </row>
    <row r="116" spans="1:12" s="133" customFormat="1" ht="21" x14ac:dyDescent="0.2">
      <c r="A116" s="149" t="s">
        <v>33</v>
      </c>
      <c r="B116" s="134">
        <v>85.483817000000002</v>
      </c>
      <c r="C116" s="91">
        <v>121.629</v>
      </c>
      <c r="D116" s="245">
        <v>121.629</v>
      </c>
      <c r="E116" s="91">
        <f>Таблица224627910121314574549[[#This Row],[Столбец2]]-Таблица224627910121314574549[[#This Row],[Столбец3]]</f>
        <v>36.145183000000003</v>
      </c>
      <c r="F116" s="134">
        <f>Таблица224627910121314574549[[#This Row],[Столбец2]]*100/Таблица224627910121314574549[[#This Row],[Столбец3]]-100</f>
        <v>42.283070958331194</v>
      </c>
      <c r="G116" s="134">
        <f t="shared" si="5"/>
        <v>5.9386444127965544E-2</v>
      </c>
      <c r="H116" s="188">
        <f t="shared" si="6"/>
        <v>7.367257441215308E-2</v>
      </c>
      <c r="I116" s="205">
        <f>Таблица224627910121314574549[[#This Row],[Столбец3]]*12.7%</f>
        <v>10.856444759</v>
      </c>
      <c r="J116" s="205"/>
      <c r="K116" s="225">
        <f>5498.2-Таблица224627910121314574549[[#This Row],[Столбец4]]</f>
        <v>5376.5709999999999</v>
      </c>
      <c r="L116" s="225"/>
    </row>
    <row r="117" spans="1:12" s="133" customFormat="1" ht="21" x14ac:dyDescent="0.2">
      <c r="A117" s="149" t="s">
        <v>34</v>
      </c>
      <c r="B117" s="154">
        <v>40.084000000000003</v>
      </c>
      <c r="C117" s="99">
        <v>31.379000000000001</v>
      </c>
      <c r="D117" s="246">
        <v>42.878</v>
      </c>
      <c r="E117" s="99">
        <f>Таблица224627910121314574549[[#This Row],[Столбец2]]-Таблица224627910121314574549[[#This Row],[Столбец3]]</f>
        <v>2.7939999999999969</v>
      </c>
      <c r="F117" s="154">
        <f>Таблица224627910121314574549[[#This Row],[Столбец2]]*100/Таблица224627910121314574549[[#This Row],[Столбец3]]-100</f>
        <v>6.9703622392974722</v>
      </c>
      <c r="G117" s="154">
        <f t="shared" si="5"/>
        <v>2.7846747021431795E-2</v>
      </c>
      <c r="H117" s="190">
        <f t="shared" si="6"/>
        <v>2.5971870570705175E-2</v>
      </c>
      <c r="I117" s="205">
        <f>Таблица224627910121314574549[[#This Row],[Столбец3]]*12.7%</f>
        <v>5.0906680000000009</v>
      </c>
      <c r="J117" s="205"/>
      <c r="K117" s="225">
        <f>5498.2-Таблица224627910121314574549[[#This Row],[Столбец4]]</f>
        <v>5466.8209999999999</v>
      </c>
      <c r="L117" s="225"/>
    </row>
    <row r="118" spans="1:12" s="133" customFormat="1" ht="21" outlineLevel="1" x14ac:dyDescent="0.2">
      <c r="A118" s="149" t="s">
        <v>35</v>
      </c>
      <c r="B118" s="132">
        <v>128.422642</v>
      </c>
      <c r="C118" s="96">
        <v>149.139126</v>
      </c>
      <c r="D118" s="243">
        <v>157.20701700000001</v>
      </c>
      <c r="E118" s="96">
        <f>Таблица224627910121314574549[[#This Row],[Столбец2]]-Таблица224627910121314574549[[#This Row],[Столбец3]]</f>
        <v>28.784375000000011</v>
      </c>
      <c r="F118" s="132">
        <f>Таблица224627910121314574549[[#This Row],[Столбец2]]*100/Таблица224627910121314574549[[#This Row],[Столбец3]]-100</f>
        <v>22.413785101851445</v>
      </c>
      <c r="G118" s="132">
        <f t="shared" si="5"/>
        <v>8.921646601132377E-2</v>
      </c>
      <c r="H118" s="189">
        <f t="shared" si="6"/>
        <v>9.5222731898191346E-2</v>
      </c>
      <c r="I118" s="205">
        <f>Таблица224627910121314574549[[#This Row],[Столбец3]]*12.7%</f>
        <v>16.309675534</v>
      </c>
      <c r="J118" s="205"/>
      <c r="K118" s="225">
        <f>5498.2-Таблица224627910121314574549[[#This Row],[Столбец4]]</f>
        <v>5349.0608739999998</v>
      </c>
      <c r="L118" s="225"/>
    </row>
    <row r="119" spans="1:12" s="133" customFormat="1" ht="21" outlineLevel="1" x14ac:dyDescent="0.2">
      <c r="A119" s="229" t="s">
        <v>102</v>
      </c>
      <c r="B119" s="132">
        <v>42.055034999999997</v>
      </c>
      <c r="C119" s="247">
        <v>50.092874000000002</v>
      </c>
      <c r="D119" s="243">
        <v>57.612983</v>
      </c>
      <c r="E119" s="96">
        <f>Таблица224627910121314574549[[#This Row],[Столбец2]]-Таблица224627910121314574549[[#This Row],[Столбец3]]</f>
        <v>15.557948000000003</v>
      </c>
      <c r="F119" s="132">
        <f>Таблица224627910121314574549[[#This Row],[Столбец2]]*100/Таблица224627910121314574549[[#This Row],[Столбец3]]-100</f>
        <v>36.994257643585371</v>
      </c>
      <c r="G119" s="132">
        <f>B118/$B$8*100</f>
        <v>8.921646601132377E-2</v>
      </c>
      <c r="H119" s="189">
        <f>D118/$D$8*100</f>
        <v>9.5222731898191346E-2</v>
      </c>
      <c r="I119" s="228">
        <f>Таблица224627910121314574549[[#This Row],[Столбец3]]*12.7%</f>
        <v>5.3409894449999999</v>
      </c>
      <c r="J119" s="225"/>
      <c r="K119" s="228">
        <f>5498.2-Таблица224627910121314574549[[#This Row],[Столбец4]]</f>
        <v>5448.1071259999999</v>
      </c>
      <c r="L119" s="225"/>
    </row>
    <row r="120" spans="1:12" s="133" customFormat="1" ht="21" x14ac:dyDescent="0.2">
      <c r="A120" s="153" t="s">
        <v>28</v>
      </c>
      <c r="B120" s="134">
        <v>1091.4581539999999</v>
      </c>
      <c r="C120" s="91">
        <f>170.892+973.176</f>
        <v>1144.068</v>
      </c>
      <c r="D120" s="245">
        <f>985.105+182.822</f>
        <v>1167.9270000000001</v>
      </c>
      <c r="E120" s="91">
        <f>Таблица224627910121314574549[[#This Row],[Столбец2]]-Таблица224627910121314574549[[#This Row],[Столбец3]]</f>
        <v>76.468846000000212</v>
      </c>
      <c r="F120" s="134">
        <f>Таблица224627910121314574549[[#This Row],[Столбец2]]*100/Таблица224627910121314574549[[#This Row],[Столбец3]]-100</f>
        <v>7.0061179826047777</v>
      </c>
      <c r="G120" s="134">
        <f t="shared" si="5"/>
        <v>0.75824665948799885</v>
      </c>
      <c r="H120" s="188">
        <f t="shared" si="6"/>
        <v>0.70743152385913488</v>
      </c>
      <c r="I120" s="205">
        <f>Таблица224627910121314574549[[#This Row],[Столбец3]]*12.7%</f>
        <v>138.61518555799998</v>
      </c>
      <c r="J120" s="205"/>
      <c r="K120" s="225">
        <f>5498.2-Таблица224627910121314574549[[#This Row],[Столбец4]]</f>
        <v>4354.1319999999996</v>
      </c>
      <c r="L120" s="225"/>
    </row>
    <row r="121" spans="1:12" s="133" customFormat="1" ht="21" x14ac:dyDescent="0.2">
      <c r="A121" s="153" t="s">
        <v>29</v>
      </c>
      <c r="B121" s="154">
        <v>37.307099999999998</v>
      </c>
      <c r="C121" s="99">
        <v>41.875</v>
      </c>
      <c r="D121" s="246">
        <v>44.67</v>
      </c>
      <c r="E121" s="99">
        <f>Таблица224627910121314574549[[#This Row],[Столбец2]]-Таблица224627910121314574549[[#This Row],[Столбец3]]</f>
        <v>7.3629000000000033</v>
      </c>
      <c r="F121" s="154">
        <f>Таблица224627910121314574549[[#This Row],[Столбец2]]*100/Таблица224627910121314574549[[#This Row],[Столбец3]]-100</f>
        <v>19.735921580610665</v>
      </c>
      <c r="G121" s="154">
        <f t="shared" si="5"/>
        <v>2.5917607419500503E-2</v>
      </c>
      <c r="H121" s="190">
        <f t="shared" si="6"/>
        <v>2.7057312803614911E-2</v>
      </c>
      <c r="I121" s="205">
        <f>Таблица224627910121314574549[[#This Row],[Столбец3]]*12.7%</f>
        <v>4.7380016999999999</v>
      </c>
      <c r="J121" s="205"/>
      <c r="K121" s="225">
        <f>5498.2-Таблица224627910121314574549[[#This Row],[Столбец4]]</f>
        <v>5456.3249999999998</v>
      </c>
      <c r="L121" s="225"/>
    </row>
    <row r="122" spans="1:12" s="133" customFormat="1" ht="21" x14ac:dyDescent="0.2">
      <c r="A122" s="151" t="s">
        <v>6</v>
      </c>
      <c r="B122" s="135">
        <f>SUM(B123,B128)</f>
        <v>309.29236200000003</v>
      </c>
      <c r="C122" s="86">
        <f>SUM(C123,C128)</f>
        <v>327.311849</v>
      </c>
      <c r="D122" s="240">
        <f>SUM(D123,D128)</f>
        <v>345.61939799999999</v>
      </c>
      <c r="E122" s="86">
        <f>Таблица224627910121314574549[[#This Row],[Столбец2]]-Таблица224627910121314574549[[#This Row],[Столбец3]]</f>
        <v>36.327035999999964</v>
      </c>
      <c r="F122" s="135">
        <f>Таблица224627910121314574549[[#This Row],[Столбец2]]*100/Таблица224627910121314574549[[#This Row],[Столбец3]]-100</f>
        <v>11.745209537376155</v>
      </c>
      <c r="G122" s="135">
        <f t="shared" si="5"/>
        <v>0.21486843030324082</v>
      </c>
      <c r="H122" s="186">
        <f t="shared" si="6"/>
        <v>0.20934703744533417</v>
      </c>
      <c r="I122" s="205">
        <f>Таблица224627910121314574549[[#This Row],[Столбец3]]*12.7%</f>
        <v>39.280129974000005</v>
      </c>
      <c r="J122" s="205"/>
      <c r="K122" s="225">
        <f>5498.2-Таблица224627910121314574549[[#This Row],[Столбец4]]</f>
        <v>5170.8881510000001</v>
      </c>
      <c r="L122" s="225"/>
    </row>
    <row r="123" spans="1:12" s="133" customFormat="1" ht="21" x14ac:dyDescent="0.2">
      <c r="A123" s="153" t="s">
        <v>27</v>
      </c>
      <c r="B123" s="154">
        <f>B124+B125+B126+B127</f>
        <v>306.05804700000004</v>
      </c>
      <c r="C123" s="99">
        <f>C124+C125+C126+C127</f>
        <v>322.975889</v>
      </c>
      <c r="D123" s="246">
        <f>D124+D125+D126+D127</f>
        <v>340.80207799999999</v>
      </c>
      <c r="E123" s="99">
        <f>Таблица224627910121314574549[[#This Row],[Столбец2]]-Таблица224627910121314574549[[#This Row],[Столбец3]]</f>
        <v>34.74403099999995</v>
      </c>
      <c r="F123" s="154">
        <f>Таблица224627910121314574549[[#This Row],[Столбец2]]*100/Таблица224627910121314574549[[#This Row],[Столбец3]]-100</f>
        <v>11.352105046922659</v>
      </c>
      <c r="G123" s="154">
        <f t="shared" si="5"/>
        <v>0.21262152002500959</v>
      </c>
      <c r="H123" s="190">
        <f t="shared" si="6"/>
        <v>0.20642911189988736</v>
      </c>
      <c r="I123" s="205">
        <f>Таблица224627910121314574549[[#This Row],[Столбец3]]*12.7%</f>
        <v>38.869371969000007</v>
      </c>
      <c r="J123" s="205"/>
      <c r="K123" s="225">
        <f>5498.2-Таблица224627910121314574549[[#This Row],[Столбец4]]</f>
        <v>5175.2241109999995</v>
      </c>
      <c r="L123" s="225"/>
    </row>
    <row r="124" spans="1:12" s="133" customFormat="1" ht="21" x14ac:dyDescent="0.2">
      <c r="A124" s="149" t="s">
        <v>33</v>
      </c>
      <c r="B124" s="134">
        <v>37.905479999999997</v>
      </c>
      <c r="C124" s="245">
        <v>53.209871999999997</v>
      </c>
      <c r="D124" s="245">
        <v>53.209871999999997</v>
      </c>
      <c r="E124" s="91">
        <f>Таблица224627910121314574549[[#This Row],[Столбец2]]-Таблица224627910121314574549[[#This Row],[Столбец3]]</f>
        <v>15.304392</v>
      </c>
      <c r="F124" s="134">
        <f>Таблица224627910121314574549[[#This Row],[Столбец2]]*100/Таблица224627910121314574549[[#This Row],[Столбец3]]-100</f>
        <v>40.375143646776138</v>
      </c>
      <c r="G124" s="134">
        <f t="shared" si="5"/>
        <v>2.6333307860641215E-2</v>
      </c>
      <c r="H124" s="188">
        <f t="shared" si="6"/>
        <v>3.2230045913237304E-2</v>
      </c>
      <c r="I124" s="205">
        <f>Таблица224627910121314574549[[#This Row],[Столбец3]]*12.7%</f>
        <v>4.8139959599999997</v>
      </c>
      <c r="J124" s="205"/>
      <c r="K124" s="225">
        <f>5498.2-Таблица224627910121314574549[[#This Row],[Столбец4]]</f>
        <v>5444.9901279999995</v>
      </c>
      <c r="L124" s="225"/>
    </row>
    <row r="125" spans="1:12" s="133" customFormat="1" ht="21" x14ac:dyDescent="0.2">
      <c r="A125" s="149" t="s">
        <v>34</v>
      </c>
      <c r="B125" s="154">
        <v>142.49299999999999</v>
      </c>
      <c r="C125" s="99">
        <v>142.49299999999999</v>
      </c>
      <c r="D125" s="246">
        <v>151.488</v>
      </c>
      <c r="E125" s="99">
        <f>Таблица224627910121314574549[[#This Row],[Столбец2]]-Таблица224627910121314574549[[#This Row],[Столбец3]]</f>
        <v>8.9950000000000045</v>
      </c>
      <c r="F125" s="154">
        <f>Таблица224627910121314574549[[#This Row],[Столбец2]]*100/Таблица224627910121314574549[[#This Row],[Столбец3]]-100</f>
        <v>6.3125907939337367</v>
      </c>
      <c r="G125" s="154">
        <f t="shared" si="5"/>
        <v>9.8991281392198399E-2</v>
      </c>
      <c r="H125" s="190">
        <f t="shared" si="6"/>
        <v>9.1758634474905204E-2</v>
      </c>
      <c r="I125" s="205">
        <f>Таблица224627910121314574549[[#This Row],[Столбец3]]*12.7%</f>
        <v>18.096610999999999</v>
      </c>
      <c r="J125" s="205"/>
      <c r="K125" s="225">
        <f>5498.2-Таблица224627910121314574549[[#This Row],[Столбец4]]</f>
        <v>5355.7069999999994</v>
      </c>
      <c r="L125" s="225"/>
    </row>
    <row r="126" spans="1:12" s="133" customFormat="1" ht="21" outlineLevel="1" x14ac:dyDescent="0.2">
      <c r="A126" s="149" t="s">
        <v>35</v>
      </c>
      <c r="B126" s="132">
        <v>125.421618</v>
      </c>
      <c r="C126" s="96">
        <v>127.071209</v>
      </c>
      <c r="D126" s="243">
        <v>135.888316</v>
      </c>
      <c r="E126" s="96">
        <f>Таблица224627910121314574549[[#This Row],[Столбец2]]-Таблица224627910121314574549[[#This Row],[Столбец3]]</f>
        <v>10.466698000000008</v>
      </c>
      <c r="F126" s="132">
        <f>Таблица224627910121314574549[[#This Row],[Столбец2]]*100/Таблица224627910121314574549[[#This Row],[Столбец3]]-100</f>
        <v>8.345210472408354</v>
      </c>
      <c r="G126" s="132">
        <f t="shared" si="5"/>
        <v>8.7131625273541971E-2</v>
      </c>
      <c r="H126" s="189">
        <f t="shared" si="6"/>
        <v>8.2309663585593662E-2</v>
      </c>
      <c r="I126" s="205">
        <f>Таблица224627910121314574549[[#This Row],[Столбец3]]*12.7%</f>
        <v>15.928545485999999</v>
      </c>
      <c r="J126" s="205"/>
      <c r="K126" s="225">
        <f>5498.2-Таблица224627910121314574549[[#This Row],[Столбец4]]</f>
        <v>5371.1287910000001</v>
      </c>
      <c r="L126" s="225"/>
    </row>
    <row r="127" spans="1:12" s="133" customFormat="1" ht="21" outlineLevel="1" x14ac:dyDescent="0.2">
      <c r="A127" s="229" t="s">
        <v>102</v>
      </c>
      <c r="B127" s="132">
        <v>0.23794899999999999</v>
      </c>
      <c r="C127" s="247">
        <v>0.20180799999999999</v>
      </c>
      <c r="D127" s="243">
        <v>0.21589</v>
      </c>
      <c r="E127" s="96">
        <f>Таблица224627910121314574549[[#This Row],[Столбец2]]-Таблица224627910121314574549[[#This Row],[Столбец3]]</f>
        <v>-2.2058999999999995E-2</v>
      </c>
      <c r="F127" s="132">
        <f>Таблица224627910121314574549[[#This Row],[Столбец2]]*100/Таблица224627910121314574549[[#This Row],[Столбец3]]-100</f>
        <v>-9.2704739250847865</v>
      </c>
      <c r="G127" s="132">
        <f>B126/$B$8*100</f>
        <v>8.7131625273541971E-2</v>
      </c>
      <c r="H127" s="189">
        <f>D126/$D$8*100</f>
        <v>8.2309663585593662E-2</v>
      </c>
      <c r="I127" s="228">
        <f>Таблица224627910121314574549[[#This Row],[Столбец3]]*12.7%</f>
        <v>3.0219522999999998E-2</v>
      </c>
      <c r="J127" s="225"/>
      <c r="K127" s="228">
        <f>5498.2-Таблица224627910121314574549[[#This Row],[Столбец4]]</f>
        <v>5497.998192</v>
      </c>
      <c r="L127" s="225"/>
    </row>
    <row r="128" spans="1:12" s="133" customFormat="1" ht="21" x14ac:dyDescent="0.2">
      <c r="A128" s="153" t="s">
        <v>29</v>
      </c>
      <c r="B128" s="134">
        <v>3.2343150000000001</v>
      </c>
      <c r="C128" s="91">
        <v>4.33596</v>
      </c>
      <c r="D128" s="245">
        <v>4.8173199999999996</v>
      </c>
      <c r="E128" s="91">
        <f>Таблица224627910121314574549[[#This Row],[Столбец2]]-Таблица224627910121314574549[[#This Row],[Столбец3]]</f>
        <v>1.5830049999999996</v>
      </c>
      <c r="F128" s="134">
        <f>Таблица224627910121314574549[[#This Row],[Столбец2]]*100/Таблица224627910121314574549[[#This Row],[Столбец3]]-100</f>
        <v>48.944057706191245</v>
      </c>
      <c r="G128" s="134">
        <f t="shared" si="5"/>
        <v>2.2469102782312687E-3</v>
      </c>
      <c r="H128" s="188">
        <f t="shared" si="6"/>
        <v>2.9179255454468362E-3</v>
      </c>
      <c r="I128" s="205">
        <f>Таблица224627910121314574549[[#This Row],[Столбец3]]*12.7%</f>
        <v>0.41075800500000004</v>
      </c>
      <c r="J128" s="205"/>
      <c r="K128" s="225">
        <f>5498.2-Таблица224627910121314574549[[#This Row],[Столбец4]]</f>
        <v>5493.8640399999995</v>
      </c>
      <c r="L128" s="225"/>
    </row>
    <row r="129" spans="1:12" s="133" customFormat="1" ht="21" x14ac:dyDescent="0.2">
      <c r="A129" s="151" t="s">
        <v>14</v>
      </c>
      <c r="B129" s="135">
        <f>SUM(B130,B135,B136)</f>
        <v>3530.6112999999996</v>
      </c>
      <c r="C129" s="86">
        <f>SUM(C130,C135,C136)</f>
        <v>3035.1013170000001</v>
      </c>
      <c r="D129" s="240">
        <f>SUM(D130,D135,D136)</f>
        <v>3225.4769879999999</v>
      </c>
      <c r="E129" s="86">
        <f>Таблица224627910121314574549[[#This Row],[Столбец2]]-Таблица224627910121314574549[[#This Row],[Столбец3]]</f>
        <v>-305.13431199999968</v>
      </c>
      <c r="F129" s="135">
        <f>Таблица224627910121314574549[[#This Row],[Столбец2]]*100/Таблица224627910121314574549[[#This Row],[Столбец3]]-100</f>
        <v>-8.6425348494182685</v>
      </c>
      <c r="G129" s="135">
        <f t="shared" si="5"/>
        <v>2.4527502170968076</v>
      </c>
      <c r="H129" s="186">
        <f t="shared" si="6"/>
        <v>1.9537215089585325</v>
      </c>
      <c r="I129" s="205">
        <f>Таблица224627910121314574549[[#This Row],[Столбец3]]*12.7%</f>
        <v>448.38763509999995</v>
      </c>
      <c r="J129" s="205"/>
      <c r="K129" s="225">
        <f>5498.2-Таблица224627910121314574549[[#This Row],[Столбец4]]</f>
        <v>2463.0986829999997</v>
      </c>
      <c r="L129" s="225"/>
    </row>
    <row r="130" spans="1:12" s="133" customFormat="1" ht="21" x14ac:dyDescent="0.2">
      <c r="A130" s="153" t="s">
        <v>27</v>
      </c>
      <c r="B130" s="154">
        <f>B131+B132+B133+B134</f>
        <v>759.19419999999991</v>
      </c>
      <c r="C130" s="99">
        <f>C131+C132+C133+C134</f>
        <v>815.37766199999999</v>
      </c>
      <c r="D130" s="246">
        <f>D131+D132+D133+D134</f>
        <v>826.42954299999997</v>
      </c>
      <c r="E130" s="99">
        <f>Таблица224627910121314574549[[#This Row],[Столбец2]]-Таблица224627910121314574549[[#This Row],[Столбец3]]</f>
        <v>67.235343000000057</v>
      </c>
      <c r="F130" s="154">
        <f>Таблица224627910121314574549[[#This Row],[Столбец2]]*100/Таблица224627910121314574549[[#This Row],[Столбец3]]-100</f>
        <v>8.8561455026922005</v>
      </c>
      <c r="G130" s="154">
        <f t="shared" si="5"/>
        <v>0.52741963944562154</v>
      </c>
      <c r="H130" s="190">
        <f t="shared" si="6"/>
        <v>0.50058121009848933</v>
      </c>
      <c r="I130" s="205">
        <f>Таблица224627910121314574549[[#This Row],[Столбец3]]*12.7%</f>
        <v>96.417663399999995</v>
      </c>
      <c r="J130" s="205"/>
      <c r="K130" s="225">
        <f>5498.2-Таблица224627910121314574549[[#This Row],[Столбец4]]</f>
        <v>4682.8223379999999</v>
      </c>
      <c r="L130" s="225"/>
    </row>
    <row r="131" spans="1:12" s="133" customFormat="1" ht="21" x14ac:dyDescent="0.2">
      <c r="A131" s="149" t="s">
        <v>33</v>
      </c>
      <c r="B131" s="134">
        <v>47.975667999999999</v>
      </c>
      <c r="C131" s="91">
        <v>68.067646999999994</v>
      </c>
      <c r="D131" s="245">
        <v>68.067646999999994</v>
      </c>
      <c r="E131" s="91">
        <f>Таблица224627910121314574549[[#This Row],[Столбец2]]-Таблица224627910121314574549[[#This Row],[Столбец3]]</f>
        <v>20.091978999999995</v>
      </c>
      <c r="F131" s="134">
        <f>Таблица224627910121314574549[[#This Row],[Столбец2]]*100/Таблица224627910121314574549[[#This Row],[Столбец3]]-100</f>
        <v>41.879519009511228</v>
      </c>
      <c r="G131" s="134">
        <f t="shared" si="5"/>
        <v>3.3329166000903118E-2</v>
      </c>
      <c r="H131" s="188">
        <f t="shared" si="6"/>
        <v>4.1229630998098052E-2</v>
      </c>
      <c r="I131" s="205">
        <f>Таблица224627910121314574549[[#This Row],[Столбец3]]*12.7%</f>
        <v>6.0929098359999996</v>
      </c>
      <c r="J131" s="205"/>
      <c r="K131" s="225">
        <f>5498.2-Таблица224627910121314574549[[#This Row],[Столбец4]]</f>
        <v>5430.132353</v>
      </c>
      <c r="L131" s="225"/>
    </row>
    <row r="132" spans="1:12" s="133" customFormat="1" ht="21" x14ac:dyDescent="0.2">
      <c r="A132" s="149" t="s">
        <v>34</v>
      </c>
      <c r="B132" s="134">
        <v>298.5</v>
      </c>
      <c r="C132" s="91">
        <v>295.077</v>
      </c>
      <c r="D132" s="245">
        <v>305.50099999999998</v>
      </c>
      <c r="E132" s="91">
        <f>Таблица224627910121314574549[[#This Row],[Столбец2]]-Таблица224627910121314574549[[#This Row],[Столбец3]]</f>
        <v>7.0009999999999764</v>
      </c>
      <c r="F132" s="134">
        <f>Таблица224627910121314574549[[#This Row],[Столбец2]]*100/Таблица224627910121314574549[[#This Row],[Столбец3]]-100</f>
        <v>2.3453936348408604</v>
      </c>
      <c r="G132" s="134">
        <f t="shared" si="5"/>
        <v>0.20737087081871547</v>
      </c>
      <c r="H132" s="188">
        <f t="shared" si="6"/>
        <v>0.18504670066749851</v>
      </c>
      <c r="I132" s="205">
        <f>Таблица224627910121314574549[[#This Row],[Столбец3]]*12.7%</f>
        <v>37.909500000000001</v>
      </c>
      <c r="J132" s="205"/>
      <c r="K132" s="225">
        <f>5498.2-Таблица224627910121314574549[[#This Row],[Столбец4]]</f>
        <v>5203.1229999999996</v>
      </c>
      <c r="L132" s="225"/>
    </row>
    <row r="133" spans="1:12" s="133" customFormat="1" ht="21" outlineLevel="1" x14ac:dyDescent="0.2">
      <c r="A133" s="149" t="s">
        <v>35</v>
      </c>
      <c r="B133" s="132">
        <v>408.881575</v>
      </c>
      <c r="C133" s="96">
        <v>447.852576</v>
      </c>
      <c r="D133" s="243">
        <v>448.41650499999997</v>
      </c>
      <c r="E133" s="96">
        <f>Таблица224627910121314574549[[#This Row],[Столбец2]]-Таблица224627910121314574549[[#This Row],[Столбец3]]</f>
        <v>39.534929999999974</v>
      </c>
      <c r="F133" s="132">
        <f>Таблица224627910121314574549[[#This Row],[Столбец2]]*100/Таблица224627910121314574549[[#This Row],[Столбец3]]-100</f>
        <v>9.6690417023559831</v>
      </c>
      <c r="G133" s="132">
        <f t="shared" si="5"/>
        <v>0.28405403105352739</v>
      </c>
      <c r="H133" s="189">
        <f t="shared" si="6"/>
        <v>0.27161284177498873</v>
      </c>
      <c r="I133" s="205">
        <f>Таблица224627910121314574549[[#This Row],[Столбец3]]*12.7%</f>
        <v>51.927960024999997</v>
      </c>
      <c r="J133" s="205"/>
      <c r="K133" s="225">
        <f>5498.2-Таблица224627910121314574549[[#This Row],[Столбец4]]</f>
        <v>5050.3474239999996</v>
      </c>
      <c r="L133" s="225"/>
    </row>
    <row r="134" spans="1:12" s="133" customFormat="1" ht="21" outlineLevel="1" x14ac:dyDescent="0.2">
      <c r="A134" s="229" t="s">
        <v>102</v>
      </c>
      <c r="B134" s="199">
        <v>3.836957</v>
      </c>
      <c r="C134" s="243">
        <v>4.380439</v>
      </c>
      <c r="D134" s="243">
        <v>4.4443910000000004</v>
      </c>
      <c r="E134" s="96">
        <f>Таблица224627910121314574549[[#This Row],[Столбец2]]-Таблица224627910121314574549[[#This Row],[Столбец3]]</f>
        <v>0.60743400000000047</v>
      </c>
      <c r="F134" s="132">
        <f>Таблица224627910121314574549[[#This Row],[Столбец2]]*100/Таблица224627910121314574549[[#This Row],[Столбец3]]-100</f>
        <v>15.831139103200812</v>
      </c>
      <c r="G134" s="132">
        <f t="shared" si="5"/>
        <v>2.6655715724755984E-3</v>
      </c>
      <c r="H134" s="189">
        <f t="shared" si="6"/>
        <v>2.6920366579039822E-3</v>
      </c>
      <c r="I134" s="228">
        <f>Таблица224627910121314574549[[#This Row],[Столбец3]]*12.7%</f>
        <v>0.487293539</v>
      </c>
      <c r="J134" s="225"/>
      <c r="K134" s="228">
        <f>5498.2-Таблица224627910121314574549[[#This Row],[Столбец4]]</f>
        <v>5493.8195610000002</v>
      </c>
      <c r="L134" s="225"/>
    </row>
    <row r="135" spans="1:12" s="133" customFormat="1" ht="21" x14ac:dyDescent="0.2">
      <c r="A135" s="153" t="s">
        <v>28</v>
      </c>
      <c r="B135" s="134">
        <v>2738.9164449999998</v>
      </c>
      <c r="C135" s="91">
        <f>529.009+1658.21</f>
        <v>2187.2190000000001</v>
      </c>
      <c r="D135" s="245">
        <f>588.656+1777.503</f>
        <v>2366.1589999999997</v>
      </c>
      <c r="E135" s="91">
        <f>Таблица224627910121314574549[[#This Row],[Столбец2]]-Таблица224627910121314574549[[#This Row],[Столбец3]]</f>
        <v>-372.75744500000019</v>
      </c>
      <c r="F135" s="134">
        <f>Таблица224627910121314574549[[#This Row],[Столбец2]]*100/Таблица224627910121314574549[[#This Row],[Столбец3]]-100</f>
        <v>-13.609668366498866</v>
      </c>
      <c r="G135" s="134">
        <f t="shared" si="5"/>
        <v>1.9027520546041892</v>
      </c>
      <c r="H135" s="188">
        <f t="shared" si="6"/>
        <v>1.4332192569081854</v>
      </c>
      <c r="I135" s="205">
        <f>Таблица224627910121314574549[[#This Row],[Столбец3]]*12.7%</f>
        <v>347.84238851499998</v>
      </c>
      <c r="J135" s="205"/>
      <c r="K135" s="225">
        <f>5498.2-Таблица224627910121314574549[[#This Row],[Столбец4]]</f>
        <v>3310.9809999999998</v>
      </c>
      <c r="L135" s="225"/>
    </row>
    <row r="136" spans="1:12" s="213" customFormat="1" ht="21" x14ac:dyDescent="0.2">
      <c r="A136" s="153" t="s">
        <v>29</v>
      </c>
      <c r="B136" s="134">
        <v>32.500655000000002</v>
      </c>
      <c r="C136" s="91">
        <v>32.504655</v>
      </c>
      <c r="D136" s="245">
        <v>32.888444999999997</v>
      </c>
      <c r="E136" s="91">
        <f>Таблица224627910121314574549[[#This Row],[Столбец2]]-Таблица224627910121314574549[[#This Row],[Столбец3]]</f>
        <v>0.38778999999999542</v>
      </c>
      <c r="F136" s="134">
        <f>Таблица224627910121314574549[[#This Row],[Столбец2]]*100/Таблица224627910121314574549[[#This Row],[Столбец3]]-100</f>
        <v>1.1931759529153965</v>
      </c>
      <c r="G136" s="134">
        <f t="shared" si="5"/>
        <v>2.2578523046997118E-2</v>
      </c>
      <c r="H136" s="188">
        <f t="shared" si="6"/>
        <v>1.9921041951857728E-2</v>
      </c>
      <c r="I136" s="205">
        <f>Таблица224627910121314574549[[#This Row],[Столбец3]]*12.7%</f>
        <v>4.1275831850000007</v>
      </c>
      <c r="J136" s="205"/>
      <c r="K136" s="225">
        <f>5498.2-Таблица224627910121314574549[[#This Row],[Столбец4]]</f>
        <v>5465.6953450000001</v>
      </c>
      <c r="L136" s="227"/>
    </row>
    <row r="137" spans="1:12" ht="42" x14ac:dyDescent="0.2">
      <c r="A137" s="151" t="s">
        <v>7</v>
      </c>
      <c r="B137" s="135">
        <f>SUM(B138,B142)</f>
        <v>138.527041</v>
      </c>
      <c r="C137" s="86">
        <f>SUM(C138,C142)</f>
        <v>149.81363999999999</v>
      </c>
      <c r="D137" s="240">
        <f>SUM(D138,D142)</f>
        <v>162.29164</v>
      </c>
      <c r="E137" s="86">
        <f>Таблица224627910121314574549[[#This Row],[Столбец2]]-Таблица224627910121314574549[[#This Row],[Столбец3]]</f>
        <v>23.764599000000004</v>
      </c>
      <c r="F137" s="135">
        <f>Таблица224627910121314574549[[#This Row],[Столбец2]]*100/Таблица224627910121314574549[[#This Row],[Столбец3]]-100</f>
        <v>17.155205820068019</v>
      </c>
      <c r="G137" s="135">
        <f t="shared" si="5"/>
        <v>9.6236090868039872E-2</v>
      </c>
      <c r="H137" s="186">
        <f t="shared" si="6"/>
        <v>9.8302567022423598E-2</v>
      </c>
      <c r="I137" s="205">
        <f>Таблица224627910121314574549[[#This Row],[Столбец3]]*12.7%</f>
        <v>17.592934206999999</v>
      </c>
      <c r="J137" s="205"/>
      <c r="K137" s="225">
        <f>5498.2-Таблица224627910121314574549[[#This Row],[Столбец4]]</f>
        <v>5348.3863599999995</v>
      </c>
      <c r="L137" s="223"/>
    </row>
    <row r="138" spans="1:12" ht="21" x14ac:dyDescent="0.2">
      <c r="A138" s="153" t="s">
        <v>27</v>
      </c>
      <c r="B138" s="154">
        <f>B139+B140</f>
        <v>135.497401</v>
      </c>
      <c r="C138" s="99">
        <f>C139+C140</f>
        <v>146.78399999999999</v>
      </c>
      <c r="D138" s="246">
        <f>D139+D140</f>
        <v>159.262</v>
      </c>
      <c r="E138" s="99">
        <f>Таблица224627910121314574549[[#This Row],[Столбец2]]-Таблица224627910121314574549[[#This Row],[Столбец3]]</f>
        <v>23.764599000000004</v>
      </c>
      <c r="F138" s="154">
        <f>Таблица224627910121314574549[[#This Row],[Столбец2]]*100/Таблица224627910121314574549[[#This Row],[Столбец3]]-100</f>
        <v>17.538785854645297</v>
      </c>
      <c r="G138" s="154">
        <f t="shared" si="5"/>
        <v>9.4131370315050894E-2</v>
      </c>
      <c r="H138" s="190">
        <f t="shared" si="6"/>
        <v>9.6467467018789291E-2</v>
      </c>
      <c r="I138" s="211">
        <f>Таблица224627910121314574549[[#This Row],[Столбец3]]*12.7%</f>
        <v>17.208169927</v>
      </c>
      <c r="J138" s="205"/>
      <c r="K138" s="225">
        <f>5498.2-Таблица224627910121314574549[[#This Row],[Столбец4]]</f>
        <v>5351.4160000000002</v>
      </c>
      <c r="L138" s="223"/>
    </row>
    <row r="139" spans="1:12" ht="21" x14ac:dyDescent="0.2">
      <c r="A139" s="149" t="s">
        <v>33</v>
      </c>
      <c r="B139" s="154">
        <v>15.71233</v>
      </c>
      <c r="C139" s="99">
        <v>21.998999999999999</v>
      </c>
      <c r="D139" s="246">
        <v>21.998999999999999</v>
      </c>
      <c r="E139" s="99">
        <f>Таблица224627910121314574549[[#This Row],[Столбец2]]-Таблица224627910121314574549[[#This Row],[Столбец3]]</f>
        <v>6.2866699999999991</v>
      </c>
      <c r="F139" s="154">
        <f>Таблица224627910121314574549[[#This Row],[Столбец2]]*100/Таблица224627910121314574549[[#This Row],[Столбец3]]-100</f>
        <v>40.011061376638622</v>
      </c>
      <c r="G139" s="154">
        <f t="shared" si="5"/>
        <v>1.0915509395949843E-2</v>
      </c>
      <c r="H139" s="190">
        <f t="shared" si="6"/>
        <v>1.3325135983136878E-2</v>
      </c>
      <c r="I139" s="205">
        <f>Таблица224627910121314574549[[#This Row],[Столбец3]]*12.7%</f>
        <v>1.9954659100000001</v>
      </c>
      <c r="J139" s="205"/>
      <c r="K139" s="225">
        <f>5498.2-Таблица224627910121314574549[[#This Row],[Столбец4]]</f>
        <v>5476.201</v>
      </c>
      <c r="L139" s="223"/>
    </row>
    <row r="140" spans="1:12" ht="21" outlineLevel="1" x14ac:dyDescent="0.2">
      <c r="A140" s="149" t="s">
        <v>35</v>
      </c>
      <c r="B140" s="155">
        <v>119.785071</v>
      </c>
      <c r="C140" s="93">
        <v>124.785</v>
      </c>
      <c r="D140" s="244">
        <v>137.26300000000001</v>
      </c>
      <c r="E140" s="93">
        <f>Таблица224627910121314574549[[#This Row],[Столбец2]]-Таблица224627910121314574549[[#This Row],[Столбец3]]</f>
        <v>17.477929000000003</v>
      </c>
      <c r="F140" s="155">
        <f>Таблица224627910121314574549[[#This Row],[Столбец2]]*100/Таблица224627910121314574549[[#This Row],[Столбец3]]-100</f>
        <v>14.591074542168954</v>
      </c>
      <c r="G140" s="155">
        <f t="shared" si="5"/>
        <v>8.3215860919101048E-2</v>
      </c>
      <c r="H140" s="191">
        <f t="shared" si="6"/>
        <v>8.3142331035652425E-2</v>
      </c>
      <c r="I140" s="205">
        <f>Таблица224627910121314574549[[#This Row],[Столбец3]]*12.7%</f>
        <v>15.212704017</v>
      </c>
      <c r="J140" s="205"/>
      <c r="K140" s="225">
        <f>5498.2-Таблица224627910121314574549[[#This Row],[Столбец4]]</f>
        <v>5373.415</v>
      </c>
      <c r="L140" s="223"/>
    </row>
    <row r="141" spans="1:12" ht="21" outlineLevel="1" x14ac:dyDescent="0.2">
      <c r="A141" s="229" t="s">
        <v>102</v>
      </c>
      <c r="B141" s="155"/>
      <c r="C141" s="250"/>
      <c r="D141" s="244"/>
      <c r="E141" s="93"/>
      <c r="F141" s="155"/>
      <c r="G141" s="155"/>
      <c r="H141" s="191"/>
      <c r="I141" s="228">
        <f>Таблица224627910121314574549[[#This Row],[Столбец3]]*12.7%</f>
        <v>0</v>
      </c>
      <c r="J141" s="225"/>
      <c r="K141" s="228">
        <f>5498.2-Таблица224627910121314574549[[#This Row],[Столбец4]]</f>
        <v>5498.2</v>
      </c>
      <c r="L141" s="223"/>
    </row>
    <row r="142" spans="1:12" ht="21" x14ac:dyDescent="0.2">
      <c r="A142" s="153" t="s">
        <v>29</v>
      </c>
      <c r="B142" s="134">
        <v>3.0296400000000001</v>
      </c>
      <c r="C142" s="91">
        <v>3.0296400000000001</v>
      </c>
      <c r="D142" s="245">
        <v>3.0296400000000001</v>
      </c>
      <c r="E142" s="91">
        <f>Таблица224627910121314574549[[#This Row],[Столбец2]]-Таблица224627910121314574549[[#This Row],[Столбец3]]</f>
        <v>0</v>
      </c>
      <c r="F142" s="134">
        <f>Таблица224627910121314574549[[#This Row],[Столбец2]]*100/Таблица224627910121314574549[[#This Row],[Столбец3]]-100</f>
        <v>0</v>
      </c>
      <c r="G142" s="134">
        <f>B142/$B$8*100</f>
        <v>2.1047205529889888E-3</v>
      </c>
      <c r="H142" s="188">
        <f>D142/$D$8*100</f>
        <v>1.8351000036342933E-3</v>
      </c>
      <c r="I142" s="205">
        <f>Таблица224627910121314574549[[#This Row],[Столбец3]]*12.7%</f>
        <v>0.38476428000000001</v>
      </c>
      <c r="J142" s="205"/>
      <c r="K142" s="225">
        <f>5498.2-Таблица224627910121314574549[[#This Row],[Столбец4]]</f>
        <v>5495.1703600000001</v>
      </c>
      <c r="L142" s="223"/>
    </row>
    <row r="143" spans="1:12" ht="21" x14ac:dyDescent="0.2">
      <c r="A143" s="151" t="s">
        <v>43</v>
      </c>
      <c r="B143" s="135">
        <f>B144</f>
        <v>4240.6018170000007</v>
      </c>
      <c r="C143" s="86">
        <f>C144</f>
        <v>6149.6</v>
      </c>
      <c r="D143" s="240">
        <f>D144</f>
        <v>6149.6</v>
      </c>
      <c r="E143" s="86">
        <f>Таблица224627910121314574549[[#This Row],[Столбец2]]-Таблица224627910121314574549[[#This Row],[Столбец3]]</f>
        <v>1908.9981829999997</v>
      </c>
      <c r="F143" s="135">
        <f>Таблица224627910121314574549[[#This Row],[Столбец2]]*100/Таблица224627910121314574549[[#This Row],[Столбец3]]-100</f>
        <v>45.017152408582263</v>
      </c>
      <c r="G143" s="135">
        <f t="shared" si="5"/>
        <v>2.9459875765049155</v>
      </c>
      <c r="H143" s="186">
        <f t="shared" si="6"/>
        <v>3.7249082340969388</v>
      </c>
      <c r="I143" s="205">
        <f>Таблица224627910121314574549[[#This Row],[Столбец3]]*12.7%</f>
        <v>538.55643075900014</v>
      </c>
      <c r="J143" s="205"/>
      <c r="K143" s="225">
        <f>5498.2-Таблица224627910121314574549[[#This Row],[Столбец4]]</f>
        <v>-651.40000000000055</v>
      </c>
      <c r="L143" s="223"/>
    </row>
    <row r="144" spans="1:12" ht="21" x14ac:dyDescent="0.2">
      <c r="A144" s="153" t="s">
        <v>94</v>
      </c>
      <c r="B144" s="134">
        <f>3860.601817+380</f>
        <v>4240.6018170000007</v>
      </c>
      <c r="C144" s="91">
        <v>6149.6</v>
      </c>
      <c r="D144" s="245">
        <v>6149.6</v>
      </c>
      <c r="E144" s="91">
        <f>Таблица224627910121314574549[[#This Row],[Столбец2]]-Таблица224627910121314574549[[#This Row],[Столбец3]]</f>
        <v>1908.9981829999997</v>
      </c>
      <c r="F144" s="134">
        <f>Таблица224627910121314574549[[#This Row],[Столбец2]]*100/Таблица224627910121314574549[[#This Row],[Столбец3]]-100</f>
        <v>45.017152408582263</v>
      </c>
      <c r="G144" s="134">
        <f t="shared" si="5"/>
        <v>2.9459875765049155</v>
      </c>
      <c r="H144" s="188">
        <f t="shared" si="6"/>
        <v>3.7249082340969388</v>
      </c>
      <c r="I144" s="205">
        <f>Таблица224627910121314574549[[#This Row],[Столбец3]]*12.7%</f>
        <v>538.55643075900014</v>
      </c>
      <c r="J144" s="205"/>
      <c r="K144" s="225">
        <f>5498.2-Таблица224627910121314574549[[#This Row],[Столбец4]]</f>
        <v>-651.40000000000055</v>
      </c>
      <c r="L144" s="223"/>
    </row>
    <row r="145" spans="1:14" ht="21" hidden="1" x14ac:dyDescent="0.2">
      <c r="A145" s="148" t="s">
        <v>44</v>
      </c>
      <c r="B145" s="134">
        <v>380</v>
      </c>
      <c r="C145" s="91">
        <v>380</v>
      </c>
      <c r="D145" s="245">
        <v>380</v>
      </c>
      <c r="E145" s="91">
        <f>Таблица224627910121314574549[[#This Row],[Столбец2]]-Таблица224627910121314574549[[#This Row],[Столбец3]]</f>
        <v>0</v>
      </c>
      <c r="F145" s="134">
        <f>Таблица224627910121314574549[[#This Row],[Столбец2]]*100/Таблица224627910121314574549[[#This Row],[Столбец3]]-100</f>
        <v>0</v>
      </c>
      <c r="G145" s="134">
        <f t="shared" si="5"/>
        <v>0.2639897182951822</v>
      </c>
      <c r="H145" s="188">
        <f t="shared" si="6"/>
        <v>0.23017190206791283</v>
      </c>
      <c r="I145" s="205">
        <f>Таблица224627910121314574549[[#This Row],[Столбец3]]*12.7%</f>
        <v>48.26</v>
      </c>
      <c r="J145" s="205"/>
      <c r="K145" s="225">
        <f>5498.2-Таблица224627910121314574549[[#This Row],[Столбец4]]</f>
        <v>5118.2</v>
      </c>
      <c r="L145" s="223"/>
    </row>
    <row r="146" spans="1:14" ht="21" x14ac:dyDescent="0.2">
      <c r="A146" s="156" t="s">
        <v>38</v>
      </c>
      <c r="B146" s="132">
        <f>1271.9+200</f>
        <v>1471.9</v>
      </c>
      <c r="C146" s="96">
        <f>1156.397+1988.216</f>
        <v>3144.6129999999998</v>
      </c>
      <c r="D146" s="243">
        <f>1156.397+1988.216</f>
        <v>3144.6129999999998</v>
      </c>
      <c r="E146" s="96">
        <f>Таблица224627910121314574549[[#This Row],[Столбец2]]-Таблица224627910121314574549[[#This Row],[Столбец3]]</f>
        <v>1672.7129999999997</v>
      </c>
      <c r="F146" s="132">
        <f>Таблица224627910121314574549[[#This Row],[Столбец2]]*100/Таблица224627910121314574549[[#This Row],[Столбец3]]-100</f>
        <v>113.6431143420069</v>
      </c>
      <c r="G146" s="132">
        <f t="shared" si="5"/>
        <v>1.0225433325228386</v>
      </c>
      <c r="H146" s="189">
        <f t="shared" si="6"/>
        <v>1.9047409354670672</v>
      </c>
      <c r="I146" s="205">
        <f>Таблица224627910121314574549[[#This Row],[Столбец3]]*12.7%</f>
        <v>186.93130000000002</v>
      </c>
      <c r="J146" s="205"/>
      <c r="K146" s="225">
        <f>5498.2-Таблица224627910121314574549[[#This Row],[Столбец4]]</f>
        <v>2353.587</v>
      </c>
      <c r="L146" s="223"/>
    </row>
    <row r="147" spans="1:14" ht="21" x14ac:dyDescent="0.2">
      <c r="A147" s="156" t="s">
        <v>39</v>
      </c>
      <c r="B147" s="132">
        <v>106</v>
      </c>
      <c r="C147" s="96">
        <v>106</v>
      </c>
      <c r="D147" s="243">
        <v>106</v>
      </c>
      <c r="E147" s="96">
        <f>Таблица224627910121314574549[[#This Row],[Столбец2]]-Таблица224627910121314574549[[#This Row],[Столбец3]]</f>
        <v>0</v>
      </c>
      <c r="F147" s="132">
        <f>Таблица224627910121314574549[[#This Row],[Столбец2]]*100/Таблица224627910121314574549[[#This Row],[Столбец3]]-100</f>
        <v>0</v>
      </c>
      <c r="G147" s="132">
        <f t="shared" si="5"/>
        <v>7.3639237208656089E-2</v>
      </c>
      <c r="H147" s="189">
        <f t="shared" si="6"/>
        <v>6.4205846366312533E-2</v>
      </c>
      <c r="I147" s="205">
        <f>Таблица224627910121314574549[[#This Row],[Столбец3]]*12.7%</f>
        <v>13.462</v>
      </c>
      <c r="J147" s="205"/>
      <c r="K147" s="225">
        <f>5498.2-Таблица224627910121314574549[[#This Row],[Столбец4]]</f>
        <v>5392.2</v>
      </c>
      <c r="L147" s="223"/>
    </row>
    <row r="148" spans="1:14" ht="21" x14ac:dyDescent="0.2">
      <c r="A148" s="156" t="s">
        <v>8</v>
      </c>
      <c r="B148" s="132">
        <f>B149+B150</f>
        <v>1109.8823639999998</v>
      </c>
      <c r="C148" s="96">
        <f>C149+C150</f>
        <v>1044.5939699999999</v>
      </c>
      <c r="D148" s="243">
        <f>D149+D150</f>
        <v>1044.5939699999999</v>
      </c>
      <c r="E148" s="96">
        <f>Таблица224627910121314574549[[#This Row],[Столбец2]]-Таблица224627910121314574549[[#This Row],[Столбец3]]</f>
        <v>-65.288393999999926</v>
      </c>
      <c r="F148" s="132">
        <f>Таблица224627910121314574549[[#This Row],[Столбец2]]*100/Таблица224627910121314574549[[#This Row],[Столбец3]]-100</f>
        <v>-5.8824607109443008</v>
      </c>
      <c r="G148" s="132">
        <f t="shared" si="5"/>
        <v>0.77104613845566006</v>
      </c>
      <c r="H148" s="189">
        <f t="shared" si="6"/>
        <v>0.63272679200940063</v>
      </c>
      <c r="I148" s="205">
        <f>Таблица224627910121314574549[[#This Row],[Столбец3]]*12.7%</f>
        <v>140.95506022799998</v>
      </c>
      <c r="J148" s="205"/>
      <c r="K148" s="225">
        <f>5498.2-Таблица224627910121314574549[[#This Row],[Столбец4]]</f>
        <v>4453.6060299999999</v>
      </c>
      <c r="L148" s="223"/>
    </row>
    <row r="149" spans="1:14" ht="21" x14ac:dyDescent="0.2">
      <c r="A149" s="156" t="s">
        <v>41</v>
      </c>
      <c r="B149" s="134">
        <v>74.819999999999993</v>
      </c>
      <c r="C149" s="91">
        <v>72.7</v>
      </c>
      <c r="D149" s="245">
        <v>72.7</v>
      </c>
      <c r="E149" s="91">
        <f>Таблица224627910121314574549[[#This Row],[Столбец2]]-Таблица224627910121314574549[[#This Row],[Столбец3]]</f>
        <v>-2.1199999999999903</v>
      </c>
      <c r="F149" s="134">
        <f>Таблица224627910121314574549[[#This Row],[Столбец2]]*100/Таблица224627910121314574549[[#This Row],[Столбец3]]-100</f>
        <v>-2.833466987436509</v>
      </c>
      <c r="G149" s="134">
        <f t="shared" si="5"/>
        <v>5.1978186112751387E-2</v>
      </c>
      <c r="H149" s="188">
        <f t="shared" si="6"/>
        <v>4.4035519158782274E-2</v>
      </c>
      <c r="I149" s="205">
        <f>Таблица224627910121314574549[[#This Row],[Столбец3]]*12.7%</f>
        <v>9.5021399999999989</v>
      </c>
      <c r="J149" s="205"/>
      <c r="K149" s="225">
        <f>5498.2-Таблица224627910121314574549[[#This Row],[Столбец4]]</f>
        <v>5425.5</v>
      </c>
      <c r="L149" s="223"/>
    </row>
    <row r="150" spans="1:14" ht="21" x14ac:dyDescent="0.2">
      <c r="A150" s="156" t="s">
        <v>40</v>
      </c>
      <c r="B150" s="132">
        <v>1035.0623639999999</v>
      </c>
      <c r="C150" s="96">
        <v>971.89396999999997</v>
      </c>
      <c r="D150" s="243">
        <v>971.89396999999997</v>
      </c>
      <c r="E150" s="96">
        <f>Таблица224627910121314574549[[#This Row],[Столбец2]]-Таблица224627910121314574549[[#This Row],[Столбец3]]</f>
        <v>-63.168393999999921</v>
      </c>
      <c r="F150" s="132">
        <f>Таблица224627910121314574549[[#This Row],[Столбец2]]*100/Таблица224627910121314574549[[#This Row],[Столбец3]]-100</f>
        <v>-6.1028587452340162</v>
      </c>
      <c r="G150" s="132">
        <f t="shared" si="5"/>
        <v>0.71906795234290866</v>
      </c>
      <c r="H150" s="189">
        <f t="shared" si="6"/>
        <v>0.5886912728506184</v>
      </c>
      <c r="I150" s="205">
        <f>Таблица224627910121314574549[[#This Row],[Столбец3]]*12.7%</f>
        <v>131.45292022799998</v>
      </c>
      <c r="J150" s="205"/>
      <c r="K150" s="225">
        <f>5498.2-Таблица224627910121314574549[[#This Row],[Столбец4]]</f>
        <v>4526.3060299999997</v>
      </c>
      <c r="L150" s="223"/>
    </row>
    <row r="151" spans="1:14" ht="21" x14ac:dyDescent="0.2">
      <c r="A151" s="220" t="s">
        <v>42</v>
      </c>
      <c r="B151" s="221">
        <f>B12-B24</f>
        <v>-1151.5599270000093</v>
      </c>
      <c r="C151" s="221">
        <f>C12-C24</f>
        <v>-1969.5159559999956</v>
      </c>
      <c r="D151" s="221">
        <f>D12-D24</f>
        <v>-5072.8231470000028</v>
      </c>
      <c r="E151" s="221">
        <f>Таблица224627910121314574549[[#This Row],[Столбец2]]-Таблица224627910121314574549[[#This Row],[Столбец3]]</f>
        <v>-3921.2632199999935</v>
      </c>
      <c r="F151" s="221">
        <f>Таблица224627910121314574549[[#This Row],[Столбец2]]*100/Таблица224627910121314574549[[#This Row],[Столбец3]]-100</f>
        <v>340.51751264178557</v>
      </c>
      <c r="G151" s="221">
        <f t="shared" si="5"/>
        <v>-0.79999994928619222</v>
      </c>
      <c r="H151" s="222">
        <f t="shared" si="6"/>
        <v>-3.0726877699977</v>
      </c>
      <c r="I151" s="212">
        <f>Таблица224627910121314574549[[#This Row],[Столбец3]]*12.7%</f>
        <v>-146.24811072900118</v>
      </c>
      <c r="J151" s="212"/>
      <c r="K151" s="227">
        <f>5498.2-Таблица224627910121314574549[[#This Row],[Столбец4]]</f>
        <v>7467.7159559999955</v>
      </c>
      <c r="L151" s="223"/>
    </row>
    <row r="152" spans="1:14" ht="21" x14ac:dyDescent="0.2">
      <c r="A152" s="192"/>
      <c r="B152" s="132"/>
      <c r="C152" s="132"/>
      <c r="D152" s="199"/>
      <c r="E152" s="132"/>
      <c r="F152" s="135"/>
      <c r="G152" s="135"/>
      <c r="H152" s="193"/>
      <c r="I152" s="201">
        <f>Таблица224627910121314574549[[#This Row],[Столбец3]]*12.7%</f>
        <v>0</v>
      </c>
      <c r="J152" s="201"/>
      <c r="K152" s="223">
        <f>5498.2-Таблица224627910121314574549[[#This Row],[Столбец4]]</f>
        <v>5498.2</v>
      </c>
      <c r="L152" s="223"/>
    </row>
    <row r="153" spans="1:14" ht="42" x14ac:dyDescent="0.2">
      <c r="A153" s="214" t="s">
        <v>92</v>
      </c>
      <c r="B153" s="132"/>
      <c r="C153" s="132"/>
      <c r="D153" s="241">
        <f>D151+D155+D156</f>
        <v>-6013.5161770000032</v>
      </c>
      <c r="E153" s="132"/>
      <c r="F153" s="135"/>
      <c r="G153" s="135"/>
      <c r="H153" s="194"/>
      <c r="I153" s="201">
        <f>Таблица224627910121314574549[[#This Row],[Столбец3]]*12.7%</f>
        <v>0</v>
      </c>
      <c r="J153" s="201"/>
      <c r="K153" s="223">
        <f>5498.2-Таблица224627910121314574549[[#This Row],[Столбец4]]</f>
        <v>5498.2</v>
      </c>
      <c r="L153" s="223"/>
    </row>
    <row r="154" spans="1:14" ht="21" x14ac:dyDescent="0.2">
      <c r="A154" s="215" t="s">
        <v>93</v>
      </c>
      <c r="B154" s="132"/>
      <c r="C154" s="132"/>
      <c r="D154" s="199">
        <f>D153*100/D8</f>
        <v>-3.6424801488848795</v>
      </c>
      <c r="E154" s="132"/>
      <c r="F154" s="135"/>
      <c r="G154" s="135"/>
      <c r="H154" s="194"/>
      <c r="I154" s="201">
        <f>Таблица224627910121314574549[[#This Row],[Столбец3]]*12.7%</f>
        <v>0</v>
      </c>
      <c r="J154" s="201"/>
      <c r="K154" s="223">
        <f>5498.2-Таблица224627910121314574549[[#This Row],[Столбец4]]</f>
        <v>5498.2</v>
      </c>
      <c r="L154" s="223"/>
    </row>
    <row r="155" spans="1:14" ht="21" x14ac:dyDescent="0.2">
      <c r="A155" s="195" t="s">
        <v>68</v>
      </c>
      <c r="B155" s="132"/>
      <c r="C155" s="132"/>
      <c r="D155" s="199">
        <f>-5377.6+D146+D150</f>
        <v>-1261.0930300000005</v>
      </c>
      <c r="E155" s="132"/>
      <c r="F155" s="135"/>
      <c r="G155" s="135"/>
      <c r="H155" s="194"/>
      <c r="I155" s="201">
        <f>Таблица224627910121314574549[[#This Row],[Столбец3]]*12.7%</f>
        <v>0</v>
      </c>
      <c r="J155" s="201"/>
      <c r="K155" s="223">
        <f>5498.2-Таблица224627910121314574549[[#This Row],[Столбец4]]</f>
        <v>5498.2</v>
      </c>
      <c r="L155" s="223"/>
    </row>
    <row r="156" spans="1:14" ht="21" x14ac:dyDescent="0.2">
      <c r="A156" s="196" t="s">
        <v>69</v>
      </c>
      <c r="B156" s="197"/>
      <c r="C156" s="197"/>
      <c r="D156" s="242">
        <f>499.1-D147-D149</f>
        <v>320.40000000000003</v>
      </c>
      <c r="E156" s="197"/>
      <c r="F156" s="158"/>
      <c r="G156" s="158"/>
      <c r="H156" s="198"/>
      <c r="I156" s="201">
        <f>Таблица224627910121314574549[[#This Row],[Столбец3]]*12.7%</f>
        <v>0</v>
      </c>
      <c r="J156" s="201"/>
      <c r="K156" s="223">
        <f>5498.2-Таблица224627910121314574549[[#This Row],[Столбец4]]</f>
        <v>5498.2</v>
      </c>
      <c r="L156" s="223"/>
    </row>
    <row r="157" spans="1:14" ht="21" x14ac:dyDescent="0.2">
      <c r="A157" s="216"/>
      <c r="B157" s="10"/>
      <c r="C157" s="10"/>
    </row>
    <row r="158" spans="1:14" ht="42" x14ac:dyDescent="0.2">
      <c r="A158" s="214" t="s">
        <v>128</v>
      </c>
      <c r="B158" s="132"/>
      <c r="C158" s="132"/>
      <c r="D158" s="241">
        <f>D159-D160</f>
        <v>-6094.4631470000022</v>
      </c>
      <c r="E158" s="132"/>
      <c r="F158" s="135"/>
      <c r="G158" s="135"/>
      <c r="H158" s="194"/>
      <c r="I158" s="201" t="e">
        <f>Таблица224627910121314574548[[#This Row],[Столбец3]]*12.7%</f>
        <v>#VALUE!</v>
      </c>
      <c r="J158" s="201"/>
      <c r="K158" s="223" t="e">
        <f>5498.2-Таблица224627910121314574548[[#This Row],[Столбец4]]</f>
        <v>#VALUE!</v>
      </c>
      <c r="L158" s="223"/>
      <c r="M158" s="223"/>
      <c r="N158" s="223"/>
    </row>
    <row r="159" spans="1:14" ht="21" x14ac:dyDescent="0.2">
      <c r="A159" s="195" t="s">
        <v>129</v>
      </c>
      <c r="B159" s="132"/>
      <c r="C159" s="132"/>
      <c r="D159" s="199">
        <f>D12-D22</f>
        <v>42957.649200000007</v>
      </c>
      <c r="E159" s="132"/>
      <c r="F159" s="135"/>
      <c r="G159" s="135"/>
      <c r="H159" s="194"/>
      <c r="I159" s="201" t="e">
        <f>Таблица224627910121314574548[[#This Row],[Столбец3]]*12.7%</f>
        <v>#VALUE!</v>
      </c>
      <c r="J159" s="201"/>
      <c r="K159" s="223" t="e">
        <f>5498.2-Таблица224627910121314574548[[#This Row],[Столбец4]]</f>
        <v>#VALUE!</v>
      </c>
      <c r="L159" s="223"/>
      <c r="M159" s="223"/>
      <c r="N159" s="223"/>
    </row>
    <row r="160" spans="1:14" ht="21" x14ac:dyDescent="0.2">
      <c r="A160" s="196" t="s">
        <v>130</v>
      </c>
      <c r="B160" s="197"/>
      <c r="C160" s="197"/>
      <c r="D160" s="242">
        <f>D24-D146-D147</f>
        <v>49052.112347000009</v>
      </c>
      <c r="E160" s="197"/>
      <c r="F160" s="158"/>
      <c r="G160" s="158"/>
      <c r="H160" s="198"/>
      <c r="I160" s="201" t="e">
        <f>Таблица224627910121314574548[[#This Row],[Столбец3]]*12.7%</f>
        <v>#VALUE!</v>
      </c>
      <c r="J160" s="201"/>
      <c r="K160" s="223" t="e">
        <f>5498.2-Таблица224627910121314574548[[#This Row],[Столбец4]]</f>
        <v>#VALUE!</v>
      </c>
      <c r="L160" s="223"/>
      <c r="M160" s="223"/>
      <c r="N160" s="223"/>
    </row>
    <row r="161" spans="1:14" ht="21" x14ac:dyDescent="0.2">
      <c r="A161" s="215" t="s">
        <v>93</v>
      </c>
      <c r="B161" s="132"/>
      <c r="C161" s="132"/>
      <c r="D161" s="199">
        <f>D158*100/D8</f>
        <v>-3.691510985862601</v>
      </c>
      <c r="E161" s="132"/>
      <c r="F161" s="135"/>
      <c r="G161" s="135"/>
      <c r="H161" s="194"/>
      <c r="I161" s="201" t="e">
        <f>Таблица224627910121314574548[[#This Row],[Столбец3]]*12.7%</f>
        <v>#VALUE!</v>
      </c>
      <c r="J161" s="201"/>
      <c r="K161" s="223" t="e">
        <f>5498.2-Таблица224627910121314574548[[#This Row],[Столбец4]]</f>
        <v>#VALUE!</v>
      </c>
      <c r="L161" s="223"/>
      <c r="M161" s="223"/>
      <c r="N161" s="223"/>
    </row>
    <row r="163" spans="1:14" x14ac:dyDescent="0.2">
      <c r="H163" s="217"/>
    </row>
  </sheetData>
  <mergeCells count="5">
    <mergeCell ref="B1:C1"/>
    <mergeCell ref="A4:H4"/>
    <mergeCell ref="E5:F5"/>
    <mergeCell ref="G5:H5"/>
    <mergeCell ref="G3:H3"/>
  </mergeCells>
  <pageMargins left="0.49" right="0.3" top="0.46" bottom="0.44" header="0.31496062992125984" footer="0.31496062992125984"/>
  <pageSetup paperSize="9" scale="91" fitToHeight="0" orientation="landscape" r:id="rId1"/>
  <headerFooter>
    <oddFooter>&amp;C&amp;P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51"/>
  <sheetViews>
    <sheetView showGridLines="0" tabSelected="1" zoomScale="85" zoomScaleNormal="85" zoomScaleSheetLayoutView="115" workbookViewId="0">
      <pane xSplit="1" ySplit="4" topLeftCell="B5" activePane="bottomRight" state="frozen"/>
      <selection activeCell="A3" sqref="A3"/>
      <selection pane="topRight" activeCell="B3" sqref="B3"/>
      <selection pane="bottomLeft" activeCell="A7" sqref="A7"/>
      <selection pane="bottomRight" activeCell="A15" sqref="A15"/>
    </sheetView>
  </sheetViews>
  <sheetFormatPr defaultColWidth="9.140625" defaultRowHeight="18" outlineLevelRow="1" x14ac:dyDescent="0.2"/>
  <cols>
    <col min="1" max="1" width="59.85546875" style="10" customWidth="1"/>
    <col min="2" max="2" width="20.42578125" style="140" customWidth="1"/>
    <col min="3" max="3" width="20.42578125" style="233" customWidth="1"/>
    <col min="4" max="4" width="14.7109375" style="10" customWidth="1"/>
    <col min="5" max="5" width="11.42578125" style="10" customWidth="1"/>
    <col min="6" max="7" width="15" style="10" customWidth="1"/>
    <col min="8" max="8" width="3" style="10" hidden="1" customWidth="1"/>
    <col min="9" max="10" width="12.7109375" style="10" hidden="1" customWidth="1"/>
    <col min="11" max="16384" width="9.140625" style="10"/>
  </cols>
  <sheetData>
    <row r="1" spans="1:10" ht="35.25" customHeight="1" x14ac:dyDescent="0.2">
      <c r="A1" s="307" t="s">
        <v>99</v>
      </c>
      <c r="B1" s="307"/>
      <c r="C1" s="307"/>
      <c r="D1" s="307"/>
      <c r="E1" s="307"/>
      <c r="F1" s="307"/>
      <c r="G1" s="307"/>
    </row>
    <row r="2" spans="1:10" ht="21" hidden="1" x14ac:dyDescent="0.4">
      <c r="A2" s="200"/>
      <c r="B2" s="200"/>
      <c r="C2" s="234"/>
      <c r="D2" s="308"/>
      <c r="E2" s="308"/>
      <c r="F2" s="309"/>
      <c r="G2" s="309"/>
    </row>
    <row r="3" spans="1:10" s="202" customFormat="1" ht="20.25" thickBot="1" x14ac:dyDescent="0.25">
      <c r="A3" s="66"/>
      <c r="B3" s="66"/>
      <c r="C3" s="235"/>
      <c r="D3" s="142"/>
      <c r="E3" s="142"/>
      <c r="F3" s="293"/>
      <c r="G3" s="293" t="s">
        <v>77</v>
      </c>
      <c r="H3" s="201">
        <f>Таблица22462791012131457454810[[#This Row],[Столбец3]]*12.7%</f>
        <v>0</v>
      </c>
      <c r="I3" s="201"/>
      <c r="J3" s="223" t="e">
        <f>5498.2-#REF!</f>
        <v>#REF!</v>
      </c>
    </row>
    <row r="4" spans="1:10" ht="63" customHeight="1" x14ac:dyDescent="0.2">
      <c r="A4" s="265" t="s">
        <v>26</v>
      </c>
      <c r="B4" s="266" t="s">
        <v>96</v>
      </c>
      <c r="C4" s="266" t="s">
        <v>98</v>
      </c>
      <c r="D4" s="266" t="s">
        <v>100</v>
      </c>
      <c r="E4" s="266" t="s">
        <v>50</v>
      </c>
      <c r="F4" s="266" t="s">
        <v>101</v>
      </c>
      <c r="G4" s="267" t="s">
        <v>83</v>
      </c>
      <c r="H4" s="201" t="e">
        <f>Таблица22462791012131457454810[[#This Row],[Столбец3]]*12.7%</f>
        <v>#VALUE!</v>
      </c>
      <c r="I4" s="201"/>
      <c r="J4" s="223" t="e">
        <f>5498.2-#REF!</f>
        <v>#REF!</v>
      </c>
    </row>
    <row r="5" spans="1:10" s="204" customFormat="1" ht="24" customHeight="1" x14ac:dyDescent="0.2">
      <c r="A5" s="268" t="s">
        <v>18</v>
      </c>
      <c r="B5" s="144">
        <v>143945</v>
      </c>
      <c r="C5" s="144">
        <v>166065</v>
      </c>
      <c r="D5" s="144">
        <f>Таблица22462791012131457454810[[#This Row],[Столбец2]]-Таблица22462791012131457454810[[#This Row],[Столбец3]]</f>
        <v>22120</v>
      </c>
      <c r="E5" s="135">
        <f>Таблица22462791012131457454810[[#This Row],[Столбец2]]*100/Таблица22462791012131457454810[[#This Row],[Столбец3]]-100</f>
        <v>15.366980443919559</v>
      </c>
      <c r="F5" s="145" t="s">
        <v>16</v>
      </c>
      <c r="G5" s="269" t="s">
        <v>16</v>
      </c>
      <c r="H5" s="203">
        <f>Таблица22462791012131457454810[[#This Row],[Столбец3]]*12.7%</f>
        <v>18281.014999999999</v>
      </c>
      <c r="I5" s="203"/>
      <c r="J5" s="224" t="e">
        <f>5498.2-#REF!</f>
        <v>#REF!</v>
      </c>
    </row>
    <row r="6" spans="1:10" s="133" customFormat="1" ht="21" x14ac:dyDescent="0.2">
      <c r="A6" s="270" t="s">
        <v>15</v>
      </c>
      <c r="B6" s="134">
        <v>13.1</v>
      </c>
      <c r="C6" s="134">
        <f>C5/B5*100-100</f>
        <v>15.366980443919559</v>
      </c>
      <c r="D6" s="134" t="s">
        <v>16</v>
      </c>
      <c r="E6" s="134" t="s">
        <v>16</v>
      </c>
      <c r="F6" s="79" t="s">
        <v>16</v>
      </c>
      <c r="G6" s="271" t="s">
        <v>16</v>
      </c>
      <c r="H6" s="205">
        <f>Таблица22462791012131457454810[[#This Row],[Столбец3]]*12.7%</f>
        <v>1.6637</v>
      </c>
      <c r="I6" s="205"/>
      <c r="J6" s="225" t="e">
        <f>5498.2-#REF!</f>
        <v>#REF!</v>
      </c>
    </row>
    <row r="7" spans="1:10" s="133" customFormat="1" ht="21" x14ac:dyDescent="0.2">
      <c r="A7" s="270" t="s">
        <v>0</v>
      </c>
      <c r="B7" s="134">
        <v>8</v>
      </c>
      <c r="C7" s="134">
        <v>8.4</v>
      </c>
      <c r="D7" s="134" t="s">
        <v>16</v>
      </c>
      <c r="E7" s="134" t="s">
        <v>16</v>
      </c>
      <c r="F7" s="79" t="s">
        <v>16</v>
      </c>
      <c r="G7" s="271" t="s">
        <v>16</v>
      </c>
      <c r="H7" s="205">
        <f>Таблица22462791012131457454810[[#This Row],[Столбец3]]*12.7%</f>
        <v>1.016</v>
      </c>
      <c r="I7" s="205"/>
      <c r="J7" s="225" t="e">
        <f>5498.2-#REF!</f>
        <v>#REF!</v>
      </c>
    </row>
    <row r="8" spans="1:10" s="136" customFormat="1" ht="21" x14ac:dyDescent="0.2">
      <c r="A8" s="270" t="s">
        <v>9</v>
      </c>
      <c r="B8" s="134">
        <v>2.6</v>
      </c>
      <c r="C8" s="134">
        <v>4.5999999999999996</v>
      </c>
      <c r="D8" s="134" t="s">
        <v>16</v>
      </c>
      <c r="E8" s="134" t="s">
        <v>16</v>
      </c>
      <c r="F8" s="79" t="s">
        <v>16</v>
      </c>
      <c r="G8" s="271" t="s">
        <v>16</v>
      </c>
      <c r="H8" s="205">
        <f>Таблица22462791012131457454810[[#This Row],[Столбец3]]*12.7%</f>
        <v>0.33019999999999999</v>
      </c>
      <c r="I8" s="205"/>
      <c r="J8" s="225" t="e">
        <f>5498.2-#REF!</f>
        <v>#REF!</v>
      </c>
    </row>
    <row r="9" spans="1:10" s="133" customFormat="1" ht="42" x14ac:dyDescent="0.2">
      <c r="A9" s="272" t="s">
        <v>17</v>
      </c>
      <c r="B9" s="218">
        <f>B13+B17+B20</f>
        <v>42956.462999999996</v>
      </c>
      <c r="C9" s="218">
        <f>C13+C17+C20</f>
        <v>49582.167000000001</v>
      </c>
      <c r="D9" s="218">
        <f>Таблица22462791012131457454810[[#This Row],[Столбец2]]-Таблица22462791012131457454810[[#This Row],[Столбец3]]</f>
        <v>6625.7040000000052</v>
      </c>
      <c r="E9" s="218">
        <f>Таблица22462791012131457454810[[#This Row],[Столбец2]]*100/Таблица22462791012131457454810[[#This Row],[Столбец3]]-100</f>
        <v>15.424230807829787</v>
      </c>
      <c r="F9" s="218">
        <f>B9/$B$5*100</f>
        <v>29.842275174545829</v>
      </c>
      <c r="G9" s="273">
        <f>C9/$C$5*100</f>
        <v>29.857084274229972</v>
      </c>
      <c r="H9" s="205">
        <f>Таблица22462791012131457454810[[#This Row],[Столбец3]]*12.7%</f>
        <v>5455.4708009999995</v>
      </c>
      <c r="I9" s="205"/>
      <c r="J9" s="226" t="e">
        <f>5498.2-#REF!</f>
        <v>#REF!</v>
      </c>
    </row>
    <row r="10" spans="1:10" s="133" customFormat="1" ht="42.75" customHeight="1" x14ac:dyDescent="0.2">
      <c r="A10" s="268" t="s">
        <v>49</v>
      </c>
      <c r="B10" s="147">
        <f>B11+B12</f>
        <v>28169</v>
      </c>
      <c r="C10" s="147">
        <f>C11+C12</f>
        <v>34284.298999999999</v>
      </c>
      <c r="D10" s="147">
        <f>Таблица22462791012131457454810[[#This Row],[Столбец2]]-Таблица22462791012131457454810[[#This Row],[Столбец3]]</f>
        <v>6115.2989999999991</v>
      </c>
      <c r="E10" s="147">
        <f>Таблица22462791012131457454810[[#This Row],[Столбец2]]*100/Таблица22462791012131457454810[[#This Row],[Столбец3]]-100</f>
        <v>21.709322304661143</v>
      </c>
      <c r="F10" s="147">
        <f>B10/$B$5*100</f>
        <v>19.569279933307861</v>
      </c>
      <c r="G10" s="274">
        <f t="shared" ref="G10:G80" si="0">C10/$C$5*100</f>
        <v>20.645108240749106</v>
      </c>
      <c r="H10" s="206">
        <f>Таблица22462791012131457454810[[#This Row],[Столбец3]]*12.7%</f>
        <v>3577.4630000000002</v>
      </c>
      <c r="I10" s="205"/>
      <c r="J10" s="225" t="e">
        <f>5498.2-#REF!</f>
        <v>#REF!</v>
      </c>
    </row>
    <row r="11" spans="1:10" s="133" customFormat="1" ht="17.25" customHeight="1" x14ac:dyDescent="0.2">
      <c r="A11" s="275" t="s">
        <v>46</v>
      </c>
      <c r="B11" s="134">
        <v>26348.085999999999</v>
      </c>
      <c r="C11" s="134">
        <f>31816.249</f>
        <v>31816.249</v>
      </c>
      <c r="D11" s="134">
        <f>Таблица22462791012131457454810[[#This Row],[Столбец2]]-Таблица22462791012131457454810[[#This Row],[Столбец3]]</f>
        <v>5468.1630000000005</v>
      </c>
      <c r="E11" s="134">
        <f>Таблица22462791012131457454810[[#This Row],[Столбец2]]*100/Таблица22462791012131457454810[[#This Row],[Столбец3]]-100</f>
        <v>20.753549233139736</v>
      </c>
      <c r="F11" s="134">
        <f>B11/$B$5*100</f>
        <v>18.304273159887458</v>
      </c>
      <c r="G11" s="276">
        <f t="shared" si="0"/>
        <v>19.158913076205099</v>
      </c>
      <c r="H11" s="205">
        <f>Таблица22462791012131457454810[[#This Row],[Столбец3]]*12.7%</f>
        <v>3346.2069219999998</v>
      </c>
      <c r="I11" s="205"/>
      <c r="J11" s="225" t="e">
        <f>5498.2-#REF!</f>
        <v>#REF!</v>
      </c>
    </row>
    <row r="12" spans="1:10" s="133" customFormat="1" ht="17.25" customHeight="1" x14ac:dyDescent="0.2">
      <c r="A12" s="275" t="s">
        <v>45</v>
      </c>
      <c r="B12" s="134">
        <v>1820.914</v>
      </c>
      <c r="C12" s="134">
        <v>2468.0500000000002</v>
      </c>
      <c r="D12" s="134">
        <f>Таблица22462791012131457454810[[#This Row],[Столбец2]]-Таблица22462791012131457454810[[#This Row],[Столбец3]]</f>
        <v>647.13600000000019</v>
      </c>
      <c r="E12" s="134">
        <f>Таблица22462791012131457454810[[#This Row],[Столбец2]]*100/Таблица22462791012131457454810[[#This Row],[Столбец3]]-100</f>
        <v>35.539075431349318</v>
      </c>
      <c r="F12" s="134">
        <f>B12/$B$5*100</f>
        <v>1.2650067734204036</v>
      </c>
      <c r="G12" s="276">
        <f t="shared" si="0"/>
        <v>1.4861951645440039</v>
      </c>
      <c r="H12" s="205">
        <f>Таблица22462791012131457454810[[#This Row],[Столбец3]]*12.7%</f>
        <v>231.256078</v>
      </c>
      <c r="I12" s="205"/>
      <c r="J12" s="225" t="e">
        <f>5498.2-#REF!</f>
        <v>#REF!</v>
      </c>
    </row>
    <row r="13" spans="1:10" s="133" customFormat="1" ht="42.75" customHeight="1" x14ac:dyDescent="0.2">
      <c r="A13" s="268" t="s">
        <v>48</v>
      </c>
      <c r="B13" s="147">
        <f>B14+B15+B16</f>
        <v>28961</v>
      </c>
      <c r="C13" s="147">
        <f>C14+C15+C16</f>
        <v>35476.298999999999</v>
      </c>
      <c r="D13" s="147">
        <f>Таблица22462791012131457454810[[#This Row],[Столбец2]]-Таблица22462791012131457454810[[#This Row],[Столбец3]]</f>
        <v>6515.2989999999991</v>
      </c>
      <c r="E13" s="147">
        <f>Таблица22462791012131457454810[[#This Row],[Столбец2]]*100/Таблица22462791012131457454810[[#This Row],[Столбец3]]-100</f>
        <v>22.496802596595415</v>
      </c>
      <c r="F13" s="147">
        <f>B13/$B$5*100</f>
        <v>20.119490083017819</v>
      </c>
      <c r="G13" s="274">
        <f t="shared" si="0"/>
        <v>21.362899467076144</v>
      </c>
      <c r="H13" s="205">
        <f>Таблица22462791012131457454810[[#This Row],[Столбец3]]*12.7%</f>
        <v>3678.047</v>
      </c>
      <c r="I13" s="205"/>
      <c r="J13" s="225" t="e">
        <f>5498.2-#REF!</f>
        <v>#REF!</v>
      </c>
    </row>
    <row r="14" spans="1:10" s="133" customFormat="1" ht="19.5" customHeight="1" x14ac:dyDescent="0.2">
      <c r="A14" s="275" t="s">
        <v>62</v>
      </c>
      <c r="B14" s="134">
        <v>26348.085999999999</v>
      </c>
      <c r="C14" s="134">
        <f>C11</f>
        <v>31816.249</v>
      </c>
      <c r="D14" s="134">
        <f>Таблица22462791012131457454810[[#This Row],[Столбец2]]-Таблица22462791012131457454810[[#This Row],[Столбец3]]</f>
        <v>5468.1630000000005</v>
      </c>
      <c r="E14" s="134">
        <f>Таблица22462791012131457454810[[#This Row],[Столбец2]]*100/Таблица22462791012131457454810[[#This Row],[Столбец3]]-100</f>
        <v>20.753549233139736</v>
      </c>
      <c r="F14" s="134">
        <f>B14/$B$5*100</f>
        <v>18.304273159887458</v>
      </c>
      <c r="G14" s="276">
        <f t="shared" si="0"/>
        <v>19.158913076205099</v>
      </c>
      <c r="H14" s="205">
        <f>Таблица22462791012131457454810[[#This Row],[Столбец3]]*12.7%</f>
        <v>3346.2069219999998</v>
      </c>
      <c r="I14" s="205"/>
      <c r="J14" s="225" t="e">
        <f>5498.2-#REF!</f>
        <v>#REF!</v>
      </c>
    </row>
    <row r="15" spans="1:10" s="133" customFormat="1" ht="19.5" customHeight="1" x14ac:dyDescent="0.2">
      <c r="A15" s="275" t="s">
        <v>45</v>
      </c>
      <c r="B15" s="134">
        <v>1820.914</v>
      </c>
      <c r="C15" s="134">
        <f>C12</f>
        <v>2468.0500000000002</v>
      </c>
      <c r="D15" s="134">
        <f>Таблица22462791012131457454810[[#This Row],[Столбец2]]-Таблица22462791012131457454810[[#This Row],[Столбец3]]</f>
        <v>647.13600000000019</v>
      </c>
      <c r="E15" s="134">
        <f>Таблица22462791012131457454810[[#This Row],[Столбец2]]*100/Таблица22462791012131457454810[[#This Row],[Столбец3]]-100</f>
        <v>35.539075431349318</v>
      </c>
      <c r="F15" s="134">
        <f>B15/$B$5*100</f>
        <v>1.2650067734204036</v>
      </c>
      <c r="G15" s="276">
        <f t="shared" si="0"/>
        <v>1.4861951645440039</v>
      </c>
      <c r="H15" s="205">
        <f>Таблица22462791012131457454810[[#This Row],[Столбец3]]*12.7%</f>
        <v>231.256078</v>
      </c>
      <c r="I15" s="205"/>
      <c r="J15" s="225" t="e">
        <f>5498.2-#REF!</f>
        <v>#REF!</v>
      </c>
    </row>
    <row r="16" spans="1:10" s="133" customFormat="1" ht="19.5" customHeight="1" x14ac:dyDescent="0.2">
      <c r="A16" s="275" t="s">
        <v>25</v>
      </c>
      <c r="B16" s="134">
        <v>792</v>
      </c>
      <c r="C16" s="134">
        <v>1192</v>
      </c>
      <c r="D16" s="134">
        <f>Таблица22462791012131457454810[[#This Row],[Столбец2]]-Таблица22462791012131457454810[[#This Row],[Столбец3]]</f>
        <v>400</v>
      </c>
      <c r="E16" s="134">
        <f>Таблица22462791012131457454810[[#This Row],[Столбец2]]*100/Таблица22462791012131457454810[[#This Row],[Столбец3]]-100</f>
        <v>50.505050505050491</v>
      </c>
      <c r="F16" s="134">
        <f>B16/$B$5*100</f>
        <v>0.55021014970995874</v>
      </c>
      <c r="G16" s="276">
        <f t="shared" si="0"/>
        <v>0.71779122632704062</v>
      </c>
      <c r="H16" s="205">
        <f>Таблица22462791012131457454810[[#This Row],[Столбец3]]*12.7%</f>
        <v>100.584</v>
      </c>
      <c r="I16" s="205"/>
      <c r="J16" s="225" t="e">
        <f>5498.2-#REF!</f>
        <v>#REF!</v>
      </c>
    </row>
    <row r="17" spans="1:10" s="133" customFormat="1" ht="42.75" customHeight="1" x14ac:dyDescent="0.2">
      <c r="A17" s="268" t="s">
        <v>104</v>
      </c>
      <c r="B17" s="147">
        <f>B18+B19</f>
        <v>11410.431</v>
      </c>
      <c r="C17" s="147">
        <f>C18+C19</f>
        <v>11177.197</v>
      </c>
      <c r="D17" s="147">
        <f>Таблица22462791012131457454810[[#This Row],[Столбец2]]-Таблица22462791012131457454810[[#This Row],[Столбец3]]</f>
        <v>-233.23400000000038</v>
      </c>
      <c r="E17" s="147">
        <f>Таблица22462791012131457454810[[#This Row],[Столбец2]]*100/Таблица22462791012131457454810[[#This Row],[Столбец3]]-100</f>
        <v>-2.0440419822879647</v>
      </c>
      <c r="F17" s="147">
        <f>B17/$B$5*100</f>
        <v>7.9269380666226681</v>
      </c>
      <c r="G17" s="274">
        <f t="shared" si="0"/>
        <v>6.7306157227591603</v>
      </c>
      <c r="H17" s="205">
        <f>Таблица22462791012131457454810[[#This Row],[Столбец3]]*12.7%</f>
        <v>1449.1247370000001</v>
      </c>
      <c r="I17" s="205"/>
      <c r="J17" s="225" t="e">
        <f>5498.2-#REF!</f>
        <v>#REF!</v>
      </c>
    </row>
    <row r="18" spans="1:10" s="136" customFormat="1" ht="19.5" customHeight="1" x14ac:dyDescent="0.2">
      <c r="A18" s="275" t="s">
        <v>21</v>
      </c>
      <c r="B18" s="134">
        <v>6767.2510000000002</v>
      </c>
      <c r="C18" s="134">
        <v>6716.7920000000004</v>
      </c>
      <c r="D18" s="134">
        <f>Таблица22462791012131457454810[[#This Row],[Столбец2]]-Таблица22462791012131457454810[[#This Row],[Столбец3]]</f>
        <v>-50.458999999999833</v>
      </c>
      <c r="E18" s="134">
        <f>Таблица22462791012131457454810[[#This Row],[Столбец2]]*100/Таблица22462791012131457454810[[#This Row],[Столбец3]]-100</f>
        <v>-0.7456351183072627</v>
      </c>
      <c r="F18" s="134">
        <f>B18/$B$5*100</f>
        <v>4.7012754871652369</v>
      </c>
      <c r="G18" s="276">
        <f t="shared" si="0"/>
        <v>4.0446764821003827</v>
      </c>
      <c r="H18" s="205">
        <f>Таблица22462791012131457454810[[#This Row],[Столбец3]]*12.7%</f>
        <v>859.440877</v>
      </c>
      <c r="I18" s="205"/>
      <c r="J18" s="225" t="e">
        <f>5498.2-#REF!</f>
        <v>#REF!</v>
      </c>
    </row>
    <row r="19" spans="1:10" s="133" customFormat="1" ht="19.5" customHeight="1" x14ac:dyDescent="0.2">
      <c r="A19" s="275" t="s">
        <v>22</v>
      </c>
      <c r="B19" s="134">
        <v>4643.18</v>
      </c>
      <c r="C19" s="134">
        <v>4460.4049999999997</v>
      </c>
      <c r="D19" s="134">
        <f>Таблица22462791012131457454810[[#This Row],[Столбец2]]-Таблица22462791012131457454810[[#This Row],[Столбец3]]</f>
        <v>-182.77500000000055</v>
      </c>
      <c r="E19" s="134">
        <f>Таблица22462791012131457454810[[#This Row],[Столбец2]]*100/Таблица22462791012131457454810[[#This Row],[Столбец3]]-100</f>
        <v>-3.9364185752006193</v>
      </c>
      <c r="F19" s="134">
        <f>B19/$B$5*100</f>
        <v>3.2256625794574321</v>
      </c>
      <c r="G19" s="276">
        <f t="shared" si="0"/>
        <v>2.6859392406587781</v>
      </c>
      <c r="H19" s="205">
        <f>Таблица22462791012131457454810[[#This Row],[Столбец3]]*12.7%</f>
        <v>589.6838600000001</v>
      </c>
      <c r="I19" s="205"/>
      <c r="J19" s="225" t="e">
        <f>5498.2-#REF!</f>
        <v>#REF!</v>
      </c>
    </row>
    <row r="20" spans="1:10" s="133" customFormat="1" ht="34.5" customHeight="1" x14ac:dyDescent="0.2">
      <c r="A20" s="268" t="s">
        <v>23</v>
      </c>
      <c r="B20" s="135">
        <v>2585.0320000000002</v>
      </c>
      <c r="C20" s="86">
        <v>2928.6709999999998</v>
      </c>
      <c r="D20" s="86">
        <f>Таблица22462791012131457454810[[#This Row],[Столбец2]]-Таблица22462791012131457454810[[#This Row],[Столбец3]]</f>
        <v>343.63899999999967</v>
      </c>
      <c r="E20" s="135">
        <f>Таблица22462791012131457454810[[#This Row],[Столбец2]]*100/Таблица22462791012131457454810[[#This Row],[Столбец3]]-100</f>
        <v>13.293413775922289</v>
      </c>
      <c r="F20" s="135">
        <f>B20/$B$5*100</f>
        <v>1.795847024905346</v>
      </c>
      <c r="G20" s="277">
        <f t="shared" si="0"/>
        <v>1.7635690843946648</v>
      </c>
      <c r="H20" s="207">
        <f>Таблица22462791012131457454810[[#This Row],[Столбец3]]*12.7%</f>
        <v>328.29906400000004</v>
      </c>
      <c r="I20" s="205"/>
      <c r="J20" s="225" t="e">
        <f>5498.2-#REF!</f>
        <v>#REF!</v>
      </c>
    </row>
    <row r="21" spans="1:10" s="136" customFormat="1" ht="30" customHeight="1" x14ac:dyDescent="0.2">
      <c r="A21" s="272" t="s">
        <v>51</v>
      </c>
      <c r="B21" s="218">
        <f>B22+B27+B30</f>
        <v>44108.022927000005</v>
      </c>
      <c r="C21" s="218">
        <f>C22+C27+C30</f>
        <v>51591.390999999996</v>
      </c>
      <c r="D21" s="218">
        <f>D22+D27+D30</f>
        <v>7483.3680729999905</v>
      </c>
      <c r="E21" s="218">
        <f>Таблица22462791012131457454810[[#This Row],[Столбец2]]*100/Таблица22462791012131457454810[[#This Row],[Столбец3]]-100</f>
        <v>16.966002047711754</v>
      </c>
      <c r="F21" s="218">
        <f>B21/$B$5*100</f>
        <v>30.642275123832025</v>
      </c>
      <c r="G21" s="273">
        <f t="shared" si="0"/>
        <v>31.066986420979738</v>
      </c>
      <c r="H21" s="205">
        <f>Таблица22462791012131457454810[[#This Row],[Столбец3]]*12.7%</f>
        <v>5601.7189117290009</v>
      </c>
      <c r="I21" s="207"/>
      <c r="J21" s="226" t="e">
        <f>5498.2-#REF!</f>
        <v>#REF!</v>
      </c>
    </row>
    <row r="22" spans="1:10" s="133" customFormat="1" ht="21" x14ac:dyDescent="0.2">
      <c r="A22" s="278" t="s">
        <v>27</v>
      </c>
      <c r="B22" s="135">
        <f t="shared" ref="B22:C23" si="1">B32+B40+B48+B88+B141</f>
        <v>30281.296280000002</v>
      </c>
      <c r="C22" s="86">
        <f t="shared" si="1"/>
        <v>37685.367999999995</v>
      </c>
      <c r="D22" s="86">
        <f>Таблица22462791012131457454810[[#This Row],[Столбец2]]-Таблица22462791012131457454810[[#This Row],[Столбец3]]</f>
        <v>7404.0717199999926</v>
      </c>
      <c r="E22" s="135">
        <f>Таблица22462791012131457454810[[#This Row],[Столбец2]]*100/Таблица22462791012131457454810[[#This Row],[Столбец3]]-100</f>
        <v>24.450973470677297</v>
      </c>
      <c r="F22" s="135">
        <f>B22/$B$5*100</f>
        <v>21.036712827816181</v>
      </c>
      <c r="G22" s="277">
        <f t="shared" si="0"/>
        <v>22.693143046397495</v>
      </c>
      <c r="H22" s="205">
        <f>Таблица22462791012131457454810[[#This Row],[Столбец3]]*12.7%</f>
        <v>3845.7246275600005</v>
      </c>
      <c r="I22" s="205"/>
      <c r="J22" s="226" t="e">
        <f>5498.2-#REF!</f>
        <v>#REF!</v>
      </c>
    </row>
    <row r="23" spans="1:10" s="133" customFormat="1" ht="21" x14ac:dyDescent="0.2">
      <c r="A23" s="279" t="s">
        <v>33</v>
      </c>
      <c r="B23" s="134">
        <f t="shared" si="1"/>
        <v>9564.2898999999998</v>
      </c>
      <c r="C23" s="91">
        <f t="shared" si="1"/>
        <v>12976.702000000003</v>
      </c>
      <c r="D23" s="91">
        <f>Таблица22462791012131457454810[[#This Row],[Столбец2]]-Таблица22462791012131457454810[[#This Row],[Столбец3]]</f>
        <v>3412.4121000000032</v>
      </c>
      <c r="E23" s="134">
        <f>Таблица22462791012131457454810[[#This Row],[Столбец2]]*100/Таблица22462791012131457454810[[#This Row],[Столбец3]]-100</f>
        <v>35.67867699200545</v>
      </c>
      <c r="F23" s="134">
        <f>B23/$B$5*100</f>
        <v>6.6444057799854113</v>
      </c>
      <c r="G23" s="276">
        <f t="shared" si="0"/>
        <v>7.8142305723662444</v>
      </c>
      <c r="H23" s="205">
        <f>Таблица22462791012131457454810[[#This Row],[Столбец3]]*12.7%</f>
        <v>1214.6648173000001</v>
      </c>
      <c r="I23" s="205"/>
      <c r="J23" s="225" t="e">
        <f>5498.2-#REF!</f>
        <v>#REF!</v>
      </c>
    </row>
    <row r="24" spans="1:10" s="133" customFormat="1" ht="21" x14ac:dyDescent="0.2">
      <c r="A24" s="279" t="s">
        <v>34</v>
      </c>
      <c r="B24" s="134">
        <f>B34+B42+B50+B90</f>
        <v>4905.2889999999998</v>
      </c>
      <c r="C24" s="91">
        <f>C34+C42+C50+C90</f>
        <v>5063.2880000000005</v>
      </c>
      <c r="D24" s="91">
        <f>Таблица22462791012131457454810[[#This Row],[Столбец2]]-Таблица22462791012131457454810[[#This Row],[Столбец3]]</f>
        <v>157.99900000000071</v>
      </c>
      <c r="E24" s="134">
        <f>Таблица22462791012131457454810[[#This Row],[Столбец2]]*100/Таблица22462791012131457454810[[#This Row],[Столбец3]]-100</f>
        <v>3.2209926876887494</v>
      </c>
      <c r="F24" s="134">
        <f>B24/$B$5*100</f>
        <v>3.4077522664906734</v>
      </c>
      <c r="G24" s="276">
        <f t="shared" si="0"/>
        <v>3.0489796164152594</v>
      </c>
      <c r="H24" s="205">
        <f>Таблица22462791012131457454810[[#This Row],[Столбец3]]*12.7%</f>
        <v>622.97170299999993</v>
      </c>
      <c r="I24" s="205"/>
      <c r="J24" s="225" t="e">
        <f>5498.2-#REF!</f>
        <v>#REF!</v>
      </c>
    </row>
    <row r="25" spans="1:10" s="133" customFormat="1" ht="14.25" hidden="1" customHeight="1" outlineLevel="1" x14ac:dyDescent="0.2">
      <c r="A25" s="279" t="s">
        <v>35</v>
      </c>
      <c r="B25" s="132">
        <f>B35+B43+B51+B91+B141-B142</f>
        <v>15463.920248999999</v>
      </c>
      <c r="C25" s="96">
        <f>C35+C43+C51+C91+C141-C142</f>
        <v>19222.278999999999</v>
      </c>
      <c r="D25" s="96">
        <f>Таблица22462791012131457454810[[#This Row],[Столбец2]]-Таблица22462791012131457454810[[#This Row],[Столбец3]]</f>
        <v>3758.3587509999998</v>
      </c>
      <c r="E25" s="132">
        <f>Таблица22462791012131457454810[[#This Row],[Столбец2]]*100/Таблица22462791012131457454810[[#This Row],[Столбец3]]-100</f>
        <v>24.30404897647503</v>
      </c>
      <c r="F25" s="132">
        <f>B25/$B$5*100</f>
        <v>10.742936711243877</v>
      </c>
      <c r="G25" s="280">
        <f t="shared" si="0"/>
        <v>11.575153704874596</v>
      </c>
      <c r="H25" s="205">
        <f>Таблица22462791012131457454810[[#This Row],[Столбец3]]*12.7%</f>
        <v>1963.9178716229999</v>
      </c>
      <c r="I25" s="205"/>
      <c r="J25" s="225" t="e">
        <f>5498.2-#REF!</f>
        <v>#REF!</v>
      </c>
    </row>
    <row r="26" spans="1:10" s="133" customFormat="1" ht="14.25" hidden="1" customHeight="1" outlineLevel="1" x14ac:dyDescent="0.2">
      <c r="A26" s="281" t="s">
        <v>102</v>
      </c>
      <c r="B26" s="132">
        <f t="shared" ref="B26:C27" si="2">B36+B44+B52+B92</f>
        <v>347.79713100000004</v>
      </c>
      <c r="C26" s="292">
        <f t="shared" si="2"/>
        <v>423.09899999999993</v>
      </c>
      <c r="D26" s="96">
        <f>Таблица22462791012131457454810[[#This Row],[Столбец2]]-Таблица22462791012131457454810[[#This Row],[Столбец3]]</f>
        <v>75.301868999999897</v>
      </c>
      <c r="E26" s="132">
        <f>Таблица22462791012131457454810[[#This Row],[Столбец2]]*100/Таблица22462791012131457454810[[#This Row],[Столбец3]]-100</f>
        <v>21.651089755539104</v>
      </c>
      <c r="F26" s="132">
        <f>B26/$B$5*100</f>
        <v>0.24161807009621733</v>
      </c>
      <c r="G26" s="280">
        <f t="shared" si="0"/>
        <v>0.2547791527413964</v>
      </c>
      <c r="H26" s="232">
        <f>Таблица22462791012131457454810[[#This Row],[Столбец3]]*12.7%</f>
        <v>44.170235637000005</v>
      </c>
      <c r="I26" s="205"/>
      <c r="J26" s="232" t="e">
        <f>5498.2-#REF!</f>
        <v>#REF!</v>
      </c>
    </row>
    <row r="27" spans="1:10" s="133" customFormat="1" ht="21" collapsed="1" x14ac:dyDescent="0.2">
      <c r="A27" s="282" t="s">
        <v>32</v>
      </c>
      <c r="B27" s="135">
        <f t="shared" si="2"/>
        <v>11410.431146000001</v>
      </c>
      <c r="C27" s="86">
        <f t="shared" si="2"/>
        <v>11177.192999999999</v>
      </c>
      <c r="D27" s="86">
        <f>Таблица22462791012131457454810[[#This Row],[Столбец2]]-Таблица22462791012131457454810[[#This Row],[Столбец3]]</f>
        <v>-233.23814600000151</v>
      </c>
      <c r="E27" s="135">
        <f>Таблица22462791012131457454810[[#This Row],[Столбец2]]*100/Таблица22462791012131457454810[[#This Row],[Столбец3]]-100</f>
        <v>-2.0440782913077413</v>
      </c>
      <c r="F27" s="135">
        <f>B27/$B$5*100</f>
        <v>7.9269381680502971</v>
      </c>
      <c r="G27" s="277">
        <f t="shared" si="0"/>
        <v>6.7306133140637696</v>
      </c>
      <c r="H27" s="208">
        <f>Таблица22462791012131457454810[[#This Row],[Столбец3]]*12.7%</f>
        <v>1449.1247555420002</v>
      </c>
      <c r="I27" s="205"/>
      <c r="J27" s="226" t="e">
        <f>5498.2-#REF!</f>
        <v>#REF!</v>
      </c>
    </row>
    <row r="28" spans="1:10" s="133" customFormat="1" ht="21" x14ac:dyDescent="0.2">
      <c r="A28" s="279" t="s">
        <v>36</v>
      </c>
      <c r="B28" s="134">
        <v>6701.9</v>
      </c>
      <c r="C28" s="91">
        <v>6716.7920000000004</v>
      </c>
      <c r="D28" s="91">
        <f>Таблица22462791012131457454810[[#This Row],[Столбец2]]-Таблица22462791012131457454810[[#This Row],[Столбец3]]</f>
        <v>14.892000000000735</v>
      </c>
      <c r="E28" s="134">
        <f>Таблица22462791012131457454810[[#This Row],[Столбец2]]*100/Таблица22462791012131457454810[[#This Row],[Столбец3]]-100</f>
        <v>0.22220564317582614</v>
      </c>
      <c r="F28" s="134">
        <f>B28/$B$5*100</f>
        <v>4.6558755080065302</v>
      </c>
      <c r="G28" s="276">
        <f t="shared" si="0"/>
        <v>4.0446764821003827</v>
      </c>
      <c r="H28" s="205">
        <f>Таблица22462791012131457454810[[#This Row],[Столбец3]]*12.7%</f>
        <v>851.1413</v>
      </c>
      <c r="I28" s="205"/>
      <c r="J28" s="226" t="e">
        <f>5498.2-#REF!</f>
        <v>#REF!</v>
      </c>
    </row>
    <row r="29" spans="1:10" s="133" customFormat="1" ht="21" x14ac:dyDescent="0.2">
      <c r="A29" s="279" t="s">
        <v>37</v>
      </c>
      <c r="B29" s="134">
        <v>3792.3989999999999</v>
      </c>
      <c r="C29" s="91">
        <v>4460.4049999999997</v>
      </c>
      <c r="D29" s="91">
        <f>Таблица22462791012131457454810[[#This Row],[Столбец2]]-Таблица22462791012131457454810[[#This Row],[Столбец3]]</f>
        <v>668.00599999999986</v>
      </c>
      <c r="E29" s="134">
        <f>Таблица22462791012131457454810[[#This Row],[Столбец2]]*100/Таблица22462791012131457454810[[#This Row],[Столбец3]]-100</f>
        <v>17.614338575661478</v>
      </c>
      <c r="F29" s="134">
        <f>B29/$B$5*100</f>
        <v>2.6346166938761333</v>
      </c>
      <c r="G29" s="276">
        <f t="shared" si="0"/>
        <v>2.6859392406587781</v>
      </c>
      <c r="H29" s="205">
        <f>Таблица22462791012131457454810[[#This Row],[Столбец3]]*12.7%</f>
        <v>481.63467300000002</v>
      </c>
      <c r="I29" s="205"/>
      <c r="J29" s="225" t="e">
        <f>5498.2-#REF!</f>
        <v>#REF!</v>
      </c>
    </row>
    <row r="30" spans="1:10" s="133" customFormat="1" ht="28.5" customHeight="1" x14ac:dyDescent="0.2">
      <c r="A30" s="278" t="s">
        <v>29</v>
      </c>
      <c r="B30" s="135">
        <f>B38+B46+B54+B94</f>
        <v>2416.2955010000001</v>
      </c>
      <c r="C30" s="86">
        <f>C38+C46+C54+C94</f>
        <v>2728.83</v>
      </c>
      <c r="D30" s="86">
        <f>Таблица22462791012131457454810[[#This Row],[Столбец2]]-Таблица22462791012131457454810[[#This Row],[Столбец3]]</f>
        <v>312.53449899999987</v>
      </c>
      <c r="E30" s="135">
        <f>Таблица22462791012131457454810[[#This Row],[Столбец2]]*100/Таблица22462791012131457454810[[#This Row],[Столбец3]]-100</f>
        <v>12.934448575128968</v>
      </c>
      <c r="F30" s="135">
        <f>B30/$B$5*100</f>
        <v>1.6786241279655425</v>
      </c>
      <c r="G30" s="277">
        <f t="shared" si="0"/>
        <v>1.6432300605184715</v>
      </c>
      <c r="H30" s="205">
        <f>Таблица22462791012131457454810[[#This Row],[Столбец3]]*12.7%</f>
        <v>306.86952862700002</v>
      </c>
      <c r="I30" s="205"/>
      <c r="J30" s="226" t="e">
        <f>5498.2-#REF!</f>
        <v>#REF!</v>
      </c>
    </row>
    <row r="31" spans="1:10" s="133" customFormat="1" ht="33" customHeight="1" x14ac:dyDescent="0.2">
      <c r="A31" s="291" t="s">
        <v>12</v>
      </c>
      <c r="B31" s="218">
        <f>B32+B37+B38</f>
        <v>1832.5617069999998</v>
      </c>
      <c r="C31" s="218">
        <f>C32+C37+C38</f>
        <v>2205.9060000000004</v>
      </c>
      <c r="D31" s="218">
        <f>Таблица22462791012131457454810[[#This Row],[Столбец2]]-Таблица22462791012131457454810[[#This Row],[Столбец3]]</f>
        <v>373.34429300000056</v>
      </c>
      <c r="E31" s="218">
        <f>Таблица22462791012131457454810[[#This Row],[Столбец2]]*100/Таблица22462791012131457454810[[#This Row],[Столбец3]]-100</f>
        <v>20.37280881587256</v>
      </c>
      <c r="F31" s="218">
        <f>B31/$B$5*100</f>
        <v>1.2730985494459688</v>
      </c>
      <c r="G31" s="273">
        <f t="shared" si="0"/>
        <v>1.3283389034414239</v>
      </c>
      <c r="H31" s="205">
        <f>Таблица22462791012131457454810[[#This Row],[Столбец3]]*12.7%</f>
        <v>232.73533678899997</v>
      </c>
      <c r="I31" s="205"/>
      <c r="J31" s="225" t="e">
        <f>5498.2-#REF!</f>
        <v>#REF!</v>
      </c>
    </row>
    <row r="32" spans="1:10" s="133" customFormat="1" ht="20.25" customHeight="1" x14ac:dyDescent="0.2">
      <c r="A32" s="283" t="s">
        <v>27</v>
      </c>
      <c r="B32" s="134">
        <f>B33+B34+B35+B36</f>
        <v>1354.8840029999999</v>
      </c>
      <c r="C32" s="91">
        <f>C33+C34+C35+C36</f>
        <v>1589.7030000000002</v>
      </c>
      <c r="D32" s="91">
        <f>Таблица22462791012131457454810[[#This Row],[Столбец2]]-Таблица22462791012131457454810[[#This Row],[Столбец3]]</f>
        <v>234.81899700000031</v>
      </c>
      <c r="E32" s="134">
        <f>Таблица22462791012131457454810[[#This Row],[Столбец2]]*100/Таблица22462791012131457454810[[#This Row],[Столбец3]]-100</f>
        <v>17.331298951058642</v>
      </c>
      <c r="F32" s="134">
        <f>B32/$B$5*100</f>
        <v>0.94125117440689143</v>
      </c>
      <c r="G32" s="276">
        <f t="shared" si="0"/>
        <v>0.95727757203504671</v>
      </c>
      <c r="H32" s="205">
        <f>Таблица22462791012131457454810[[#This Row],[Столбец3]]*12.7%</f>
        <v>172.07026838099998</v>
      </c>
      <c r="I32" s="205"/>
      <c r="J32" s="225" t="e">
        <f>5498.2-#REF!</f>
        <v>#REF!</v>
      </c>
    </row>
    <row r="33" spans="1:10" s="133" customFormat="1" ht="20.25" customHeight="1" x14ac:dyDescent="0.2">
      <c r="A33" s="279" t="s">
        <v>33</v>
      </c>
      <c r="B33" s="132">
        <v>589.80052000000001</v>
      </c>
      <c r="C33" s="96">
        <v>801.02300000000002</v>
      </c>
      <c r="D33" s="96">
        <f>Таблица22462791012131457454810[[#This Row],[Столбец2]]-Таблица22462791012131457454810[[#This Row],[Столбец3]]</f>
        <v>211.22248000000002</v>
      </c>
      <c r="E33" s="132">
        <f>Таблица22462791012131457454810[[#This Row],[Столбец2]]*100/Таблица22462791012131457454810[[#This Row],[Столбец3]]-100</f>
        <v>35.812528615607192</v>
      </c>
      <c r="F33" s="132">
        <f>B33/$B$5*100</f>
        <v>0.40974019243461046</v>
      </c>
      <c r="G33" s="280">
        <f t="shared" si="0"/>
        <v>0.48235510191792369</v>
      </c>
      <c r="H33" s="205">
        <f>Таблица22462791012131457454810[[#This Row],[Столбец3]]*12.7%</f>
        <v>74.904666039999995</v>
      </c>
      <c r="I33" s="205"/>
      <c r="J33" s="225" t="e">
        <f>5498.2-#REF!</f>
        <v>#REF!</v>
      </c>
    </row>
    <row r="34" spans="1:10" s="133" customFormat="1" ht="20.25" customHeight="1" x14ac:dyDescent="0.2">
      <c r="A34" s="279" t="s">
        <v>34</v>
      </c>
      <c r="B34" s="132">
        <v>126.17</v>
      </c>
      <c r="C34" s="96">
        <v>130.20599999999999</v>
      </c>
      <c r="D34" s="96">
        <f>Таблица22462791012131457454810[[#This Row],[Столбец2]]-Таблица22462791012131457454810[[#This Row],[Столбец3]]</f>
        <v>4.0359999999999872</v>
      </c>
      <c r="E34" s="132">
        <f>Таблица22462791012131457454810[[#This Row],[Столбец2]]*100/Таблица22462791012131457454810[[#This Row],[Столбец3]]-100</f>
        <v>3.1988586827296359</v>
      </c>
      <c r="F34" s="132">
        <f>B34/$B$5*100</f>
        <v>8.7651533571850362E-2</v>
      </c>
      <c r="G34" s="280">
        <f t="shared" si="0"/>
        <v>7.8406647999277393E-2</v>
      </c>
      <c r="H34" s="205">
        <f>Таблица22462791012131457454810[[#This Row],[Столбец3]]*12.7%</f>
        <v>16.023589999999999</v>
      </c>
      <c r="I34" s="205"/>
      <c r="J34" s="225" t="e">
        <f>5498.2-#REF!</f>
        <v>#REF!</v>
      </c>
    </row>
    <row r="35" spans="1:10" s="133" customFormat="1" ht="20.25" hidden="1" customHeight="1" outlineLevel="1" x14ac:dyDescent="0.2">
      <c r="A35" s="279" t="s">
        <v>35</v>
      </c>
      <c r="B35" s="132">
        <v>605.88042299999995</v>
      </c>
      <c r="C35" s="96">
        <v>619.74300000000005</v>
      </c>
      <c r="D35" s="96">
        <f>Таблица22462791012131457454810[[#This Row],[Столбец2]]-Таблица22462791012131457454810[[#This Row],[Столбец3]]</f>
        <v>13.862577000000101</v>
      </c>
      <c r="E35" s="132">
        <f>Таблица22462791012131457454810[[#This Row],[Столбец2]]*100/Таблица22462791012131457454810[[#This Row],[Столбец3]]-100</f>
        <v>2.2880054337058624</v>
      </c>
      <c r="F35" s="132">
        <f>B35/$B$5*100</f>
        <v>0.42091105839035742</v>
      </c>
      <c r="G35" s="280">
        <f t="shared" si="0"/>
        <v>0.37319302682684496</v>
      </c>
      <c r="H35" s="205">
        <f>Таблица22462791012131457454810[[#This Row],[Столбец3]]*12.7%</f>
        <v>76.946813720999998</v>
      </c>
      <c r="I35" s="205"/>
      <c r="J35" s="225" t="e">
        <f>5498.2-#REF!</f>
        <v>#REF!</v>
      </c>
    </row>
    <row r="36" spans="1:10" s="133" customFormat="1" ht="20.25" hidden="1" customHeight="1" outlineLevel="1" x14ac:dyDescent="0.2">
      <c r="A36" s="281" t="s">
        <v>102</v>
      </c>
      <c r="B36" s="199">
        <v>33.033059999999999</v>
      </c>
      <c r="C36" s="243">
        <v>38.731000000000002</v>
      </c>
      <c r="D36" s="243">
        <f>Таблица22462791012131457454810[[#This Row],[Столбец2]]-Таблица22462791012131457454810[[#This Row],[Столбец3]]</f>
        <v>5.6979400000000027</v>
      </c>
      <c r="E36" s="199">
        <f>Таблица22462791012131457454810[[#This Row],[Столбец2]]*100/Таблица22462791012131457454810[[#This Row],[Столбец3]]-100</f>
        <v>17.249204282013253</v>
      </c>
      <c r="F36" s="199">
        <f>B36/$B$5*100</f>
        <v>2.2948390010073292E-2</v>
      </c>
      <c r="G36" s="284">
        <f t="shared" si="0"/>
        <v>2.3322795291000512E-2</v>
      </c>
      <c r="H36" s="228">
        <f>Таблица22462791012131457454810[[#This Row],[Столбец3]]*12.7%</f>
        <v>4.1951986200000002</v>
      </c>
      <c r="I36" s="225"/>
      <c r="J36" s="228" t="e">
        <f>5498.2-#REF!</f>
        <v>#REF!</v>
      </c>
    </row>
    <row r="37" spans="1:10" s="133" customFormat="1" ht="20.25" customHeight="1" collapsed="1" x14ac:dyDescent="0.2">
      <c r="A37" s="283" t="s">
        <v>28</v>
      </c>
      <c r="B37" s="134">
        <v>210.25696500000001</v>
      </c>
      <c r="C37" s="91">
        <v>303.286</v>
      </c>
      <c r="D37" s="91">
        <f>Таблица22462791012131457454810[[#This Row],[Столбец2]]-Таблица22462791012131457454810[[#This Row],[Столбец3]]</f>
        <v>93.029034999999993</v>
      </c>
      <c r="E37" s="134">
        <f>Таблица22462791012131457454810[[#This Row],[Столбец2]]*100/Таблица22462791012131457454810[[#This Row],[Столбец3]]-100</f>
        <v>44.245399908630844</v>
      </c>
      <c r="F37" s="134">
        <f>B37/$B$5*100</f>
        <v>0.1460675709472368</v>
      </c>
      <c r="G37" s="276">
        <f t="shared" si="0"/>
        <v>0.18263089754011985</v>
      </c>
      <c r="H37" s="205">
        <f>Таблица22462791012131457454810[[#This Row],[Столбец3]]*12.7%</f>
        <v>26.702634555000003</v>
      </c>
      <c r="I37" s="205"/>
      <c r="J37" s="225" t="e">
        <f>5498.2-#REF!</f>
        <v>#REF!</v>
      </c>
    </row>
    <row r="38" spans="1:10" s="133" customFormat="1" ht="21" x14ac:dyDescent="0.2">
      <c r="A38" s="283" t="s">
        <v>29</v>
      </c>
      <c r="B38" s="134">
        <v>267.42073900000003</v>
      </c>
      <c r="C38" s="91">
        <v>312.91699999999997</v>
      </c>
      <c r="D38" s="91">
        <f>Таблица22462791012131457454810[[#This Row],[Столбец2]]-Таблица22462791012131457454810[[#This Row],[Столбец3]]</f>
        <v>45.496260999999947</v>
      </c>
      <c r="E38" s="134">
        <f>Таблица22462791012131457454810[[#This Row],[Столбец2]]*100/Таблица22462791012131457454810[[#This Row],[Столбец3]]-100</f>
        <v>17.012989033733817</v>
      </c>
      <c r="F38" s="134">
        <f>B38/$B$5*100</f>
        <v>0.18577980409184067</v>
      </c>
      <c r="G38" s="276">
        <f t="shared" si="0"/>
        <v>0.18843043386625719</v>
      </c>
      <c r="H38" s="205">
        <f>Таблица22462791012131457454810[[#This Row],[Столбец3]]*12.7%</f>
        <v>33.962433853</v>
      </c>
      <c r="I38" s="205"/>
      <c r="J38" s="225" t="e">
        <f>5498.2-#REF!</f>
        <v>#REF!</v>
      </c>
    </row>
    <row r="39" spans="1:10" s="133" customFormat="1" ht="42" x14ac:dyDescent="0.2">
      <c r="A39" s="291" t="s">
        <v>30</v>
      </c>
      <c r="B39" s="218">
        <f>SUM(B40,B45,B46)</f>
        <v>3741.3544199999997</v>
      </c>
      <c r="C39" s="218">
        <f>SUM(C40,C45,C46)</f>
        <v>4724.0609999999997</v>
      </c>
      <c r="D39" s="218">
        <f>Таблица22462791012131457454810[[#This Row],[Столбец2]]-Таблица22462791012131457454810[[#This Row],[Столбец3]]</f>
        <v>982.70658000000003</v>
      </c>
      <c r="E39" s="218">
        <f>Таблица22462791012131457454810[[#This Row],[Столбец2]]*100/Таблица22462791012131457454810[[#This Row],[Столбец3]]-100</f>
        <v>26.266064897428251</v>
      </c>
      <c r="F39" s="218">
        <f>B39/$B$5*100</f>
        <v>2.5991555246795648</v>
      </c>
      <c r="G39" s="273">
        <f t="shared" si="0"/>
        <v>2.8447059886189141</v>
      </c>
      <c r="H39" s="205">
        <f>Таблица22462791012131457454810[[#This Row],[Столбец3]]*12.7%</f>
        <v>475.15201133999994</v>
      </c>
      <c r="I39" s="205"/>
      <c r="J39" s="225" t="e">
        <f>5498.2-#REF!</f>
        <v>#REF!</v>
      </c>
    </row>
    <row r="40" spans="1:10" s="133" customFormat="1" ht="24" customHeight="1" x14ac:dyDescent="0.2">
      <c r="A40" s="283" t="s">
        <v>27</v>
      </c>
      <c r="B40" s="134">
        <f>B41+B42+B43+B44</f>
        <v>3382.3556499999995</v>
      </c>
      <c r="C40" s="91">
        <f>C41+C42+C43+C44</f>
        <v>4282.9809999999998</v>
      </c>
      <c r="D40" s="91">
        <f>Таблица22462791012131457454810[[#This Row],[Столбец2]]-Таблица22462791012131457454810[[#This Row],[Столбец3]]</f>
        <v>900.62535000000025</v>
      </c>
      <c r="E40" s="134">
        <f>Таблица22462791012131457454810[[#This Row],[Столбец2]]*100/Таблица22462791012131457454810[[#This Row],[Столбец3]]-100</f>
        <v>26.627162935985169</v>
      </c>
      <c r="F40" s="134">
        <f>B40/$B$5*100</f>
        <v>2.3497555663621519</v>
      </c>
      <c r="G40" s="276">
        <f t="shared" si="0"/>
        <v>2.5790991479240057</v>
      </c>
      <c r="H40" s="205">
        <f>Таблица22462791012131457454810[[#This Row],[Столбец3]]*12.7%</f>
        <v>429.55916754999993</v>
      </c>
      <c r="I40" s="205"/>
      <c r="J40" s="225" t="e">
        <f>5498.2-#REF!</f>
        <v>#REF!</v>
      </c>
    </row>
    <row r="41" spans="1:10" s="136" customFormat="1" ht="24" customHeight="1" x14ac:dyDescent="0.2">
      <c r="A41" s="279" t="s">
        <v>33</v>
      </c>
      <c r="B41" s="134">
        <f>554.962997+917.169968</f>
        <v>1472.132965</v>
      </c>
      <c r="C41" s="91">
        <f>797.992+1283.321</f>
        <v>2081.3130000000001</v>
      </c>
      <c r="D41" s="91">
        <f>Таблица22462791012131457454810[[#This Row],[Столбец2]]-Таблица22462791012131457454810[[#This Row],[Столбец3]]</f>
        <v>609.18003500000009</v>
      </c>
      <c r="E41" s="134">
        <f>Таблица22462791012131457454810[[#This Row],[Столбец2]]*100/Таблица22462791012131457454810[[#This Row],[Столбец3]]-100</f>
        <v>41.380775343210928</v>
      </c>
      <c r="F41" s="134">
        <f>B41/$B$5*100</f>
        <v>1.0227051755878982</v>
      </c>
      <c r="G41" s="276">
        <f t="shared" si="0"/>
        <v>1.2533122572486677</v>
      </c>
      <c r="H41" s="205">
        <f>Таблица22462791012131457454810[[#This Row],[Столбец3]]*12.7%</f>
        <v>186.960886555</v>
      </c>
      <c r="I41" s="205"/>
      <c r="J41" s="225" t="e">
        <f>5498.2-#REF!</f>
        <v>#REF!</v>
      </c>
    </row>
    <row r="42" spans="1:10" s="133" customFormat="1" ht="24" customHeight="1" x14ac:dyDescent="0.2">
      <c r="A42" s="279" t="s">
        <v>34</v>
      </c>
      <c r="B42" s="154">
        <f>88+120.07</f>
        <v>208.07</v>
      </c>
      <c r="C42" s="99">
        <f>75.39+126.77</f>
        <v>202.16</v>
      </c>
      <c r="D42" s="99">
        <f>Таблица22462791012131457454810[[#This Row],[Столбец2]]-Таблица22462791012131457454810[[#This Row],[Столбец3]]</f>
        <v>-5.9099999999999966</v>
      </c>
      <c r="E42" s="154">
        <f>Таблица22462791012131457454810[[#This Row],[Столбец2]]*100/Таблица22462791012131457454810[[#This Row],[Столбец3]]-100</f>
        <v>-2.8403902532801482</v>
      </c>
      <c r="F42" s="154">
        <f>B42/$B$5*100</f>
        <v>0.14454826496231199</v>
      </c>
      <c r="G42" s="285">
        <f t="shared" si="0"/>
        <v>0.12173546502875379</v>
      </c>
      <c r="H42" s="205">
        <f>Таблица22462791012131457454810[[#This Row],[Столбец3]]*12.7%</f>
        <v>26.424889999999998</v>
      </c>
      <c r="I42" s="205"/>
      <c r="J42" s="225" t="e">
        <f>5498.2-#REF!</f>
        <v>#REF!</v>
      </c>
    </row>
    <row r="43" spans="1:10" s="133" customFormat="1" ht="21" hidden="1" customHeight="1" outlineLevel="1" x14ac:dyDescent="0.2">
      <c r="A43" s="279" t="s">
        <v>35</v>
      </c>
      <c r="B43" s="134">
        <v>1581.952685</v>
      </c>
      <c r="C43" s="91">
        <f>1416.257+432.097</f>
        <v>1848.354</v>
      </c>
      <c r="D43" s="91">
        <f>Таблица22462791012131457454810[[#This Row],[Столбец2]]-Таблица22462791012131457454810[[#This Row],[Столбец3]]</f>
        <v>266.40131500000007</v>
      </c>
      <c r="E43" s="134">
        <f>Таблица22462791012131457454810[[#This Row],[Столбец2]]*100/Таблица22462791012131457454810[[#This Row],[Столбец3]]-100</f>
        <v>16.840030522151807</v>
      </c>
      <c r="F43" s="134">
        <f>B43/$B$5*100</f>
        <v>1.098998009656466</v>
      </c>
      <c r="G43" s="276">
        <f t="shared" si="0"/>
        <v>1.1130304398879958</v>
      </c>
      <c r="H43" s="205">
        <f>Таблица22462791012131457454810[[#This Row],[Столбец3]]*12.7%</f>
        <v>200.90799099500001</v>
      </c>
      <c r="I43" s="205"/>
      <c r="J43" s="226" t="e">
        <f>5498.2-#REF!</f>
        <v>#REF!</v>
      </c>
    </row>
    <row r="44" spans="1:10" s="133" customFormat="1" ht="21" hidden="1" customHeight="1" outlineLevel="1" x14ac:dyDescent="0.2">
      <c r="A44" s="281" t="s">
        <v>102</v>
      </c>
      <c r="B44" s="134">
        <v>120.2</v>
      </c>
      <c r="C44" s="91">
        <f>92.284+58.87</f>
        <v>151.154</v>
      </c>
      <c r="D44" s="91">
        <f>Таблица22462791012131457454810[[#This Row],[Столбец2]]-Таблица22462791012131457454810[[#This Row],[Столбец3]]</f>
        <v>30.953999999999994</v>
      </c>
      <c r="E44" s="134">
        <f>Таблица22462791012131457454810[[#This Row],[Столбец2]]*100/Таблица22462791012131457454810[[#This Row],[Столбец3]]-100</f>
        <v>25.752079866888508</v>
      </c>
      <c r="F44" s="134">
        <f>B44/$B$5*100</f>
        <v>8.3504116155476052E-2</v>
      </c>
      <c r="G44" s="276">
        <f t="shared" si="0"/>
        <v>9.102098575858851E-2</v>
      </c>
      <c r="H44" s="228">
        <f>Таблица22462791012131457454810[[#This Row],[Столбец3]]*12.7%</f>
        <v>15.265400000000001</v>
      </c>
      <c r="I44" s="225"/>
      <c r="J44" s="228" t="e">
        <f>5498.2-#REF!</f>
        <v>#REF!</v>
      </c>
    </row>
    <row r="45" spans="1:10" s="133" customFormat="1" ht="24" customHeight="1" collapsed="1" x14ac:dyDescent="0.2">
      <c r="A45" s="283" t="s">
        <v>28</v>
      </c>
      <c r="B45" s="134">
        <f>81.257352</f>
        <v>81.257351999999997</v>
      </c>
      <c r="C45" s="91">
        <v>79.387</v>
      </c>
      <c r="D45" s="91">
        <f>Таблица22462791012131457454810[[#This Row],[Столбец2]]-Таблица22462791012131457454810[[#This Row],[Столбец3]]</f>
        <v>-1.8703519999999969</v>
      </c>
      <c r="E45" s="134">
        <f>Таблица22462791012131457454810[[#This Row],[Столбец2]]*100/Таблица22462791012131457454810[[#This Row],[Столбец3]]-100</f>
        <v>-2.3017634145892458</v>
      </c>
      <c r="F45" s="134">
        <f>B45/$B$5*100</f>
        <v>5.6450277536559103E-2</v>
      </c>
      <c r="G45" s="276">
        <f t="shared" si="0"/>
        <v>4.7804775238611388E-2</v>
      </c>
      <c r="H45" s="205">
        <f>Таблица22462791012131457454810[[#This Row],[Столбец3]]*12.7%</f>
        <v>10.319683703999999</v>
      </c>
      <c r="I45" s="205"/>
      <c r="J45" s="225" t="e">
        <f>5498.2-#REF!</f>
        <v>#REF!</v>
      </c>
    </row>
    <row r="46" spans="1:10" s="133" customFormat="1" ht="24" customHeight="1" x14ac:dyDescent="0.2">
      <c r="A46" s="283" t="s">
        <v>29</v>
      </c>
      <c r="B46" s="134">
        <f>0.5867+277.154718</f>
        <v>277.74141800000001</v>
      </c>
      <c r="C46" s="91">
        <f>3.098+358.595</f>
        <v>361.69300000000004</v>
      </c>
      <c r="D46" s="91">
        <f>Таблица22462791012131457454810[[#This Row],[Столбец2]]-Таблица22462791012131457454810[[#This Row],[Столбец3]]</f>
        <v>83.95158200000003</v>
      </c>
      <c r="E46" s="134">
        <f>Таблица22462791012131457454810[[#This Row],[Столбец2]]*100/Таблица22462791012131457454810[[#This Row],[Столбец3]]-100</f>
        <v>30.226526027169626</v>
      </c>
      <c r="F46" s="134">
        <f>B46/$B$5*100</f>
        <v>0.19294968078085381</v>
      </c>
      <c r="G46" s="276">
        <f t="shared" si="0"/>
        <v>0.21780206545629727</v>
      </c>
      <c r="H46" s="205">
        <f>Таблица22462791012131457454810[[#This Row],[Столбец3]]*12.7%</f>
        <v>35.273160086000004</v>
      </c>
      <c r="I46" s="205"/>
      <c r="J46" s="225" t="e">
        <f>5498.2-#REF!</f>
        <v>#REF!</v>
      </c>
    </row>
    <row r="47" spans="1:10" s="133" customFormat="1" ht="21" x14ac:dyDescent="0.2">
      <c r="A47" s="291" t="s">
        <v>31</v>
      </c>
      <c r="B47" s="218">
        <f>SUM(B55,B63,B71,B79)</f>
        <v>18971.108175000001</v>
      </c>
      <c r="C47" s="218">
        <f>SUM(C55,C63,C71,C79)</f>
        <v>23919.546999999999</v>
      </c>
      <c r="D47" s="218">
        <f>Таблица22462791012131457454810[[#This Row],[Столбец2]]-Таблица22462791012131457454810[[#This Row],[Столбец3]]</f>
        <v>4948.4388249999975</v>
      </c>
      <c r="E47" s="218">
        <f>Таблица22462791012131457454810[[#This Row],[Столбец2]]*100/Таблица22462791012131457454810[[#This Row],[Столбец3]]-100</f>
        <v>26.084078902259463</v>
      </c>
      <c r="F47" s="218">
        <f>B47/$B$5*100</f>
        <v>13.179414481225468</v>
      </c>
      <c r="G47" s="273">
        <f t="shared" si="0"/>
        <v>14.403725649595037</v>
      </c>
      <c r="H47" s="205">
        <f>Таблица22462791012131457454810[[#This Row],[Столбец3]]*12.7%</f>
        <v>2409.330738225</v>
      </c>
      <c r="I47" s="205"/>
      <c r="J47" s="225" t="e">
        <f>5498.2-#REF!</f>
        <v>#REF!</v>
      </c>
    </row>
    <row r="48" spans="1:10" s="133" customFormat="1" ht="21" x14ac:dyDescent="0.2">
      <c r="A48" s="283" t="s">
        <v>27</v>
      </c>
      <c r="B48" s="134">
        <f t="shared" ref="B48:C52" si="3">B56+B64+B72+B80</f>
        <v>15889.678558</v>
      </c>
      <c r="C48" s="91">
        <f t="shared" si="3"/>
        <v>20575.988999999998</v>
      </c>
      <c r="D48" s="91">
        <f>Таблица22462791012131457454810[[#This Row],[Столбец2]]-Таблица22462791012131457454810[[#This Row],[Столбец3]]</f>
        <v>4686.3104419999981</v>
      </c>
      <c r="E48" s="134">
        <f>Таблица22462791012131457454810[[#This Row],[Столбец2]]*100/Таблица22462791012131457454810[[#This Row],[Столбец3]]-100</f>
        <v>29.49279574721524</v>
      </c>
      <c r="F48" s="134">
        <f>B48/$B$5*100</f>
        <v>11.038715174545834</v>
      </c>
      <c r="G48" s="276">
        <f t="shared" si="0"/>
        <v>12.390322464095382</v>
      </c>
      <c r="H48" s="205">
        <f>Таблица22462791012131457454810[[#This Row],[Столбец3]]*12.7%</f>
        <v>2017.989176866</v>
      </c>
      <c r="I48" s="205"/>
      <c r="J48" s="225" t="e">
        <f>5498.2-#REF!</f>
        <v>#REF!</v>
      </c>
    </row>
    <row r="49" spans="1:10" s="133" customFormat="1" ht="21" x14ac:dyDescent="0.2">
      <c r="A49" s="279" t="s">
        <v>33</v>
      </c>
      <c r="B49" s="132">
        <f t="shared" si="3"/>
        <v>6729.1343310000002</v>
      </c>
      <c r="C49" s="96">
        <f>C57+C65+C73+C81</f>
        <v>9498.8150000000005</v>
      </c>
      <c r="D49" s="96">
        <f>Таблица22462791012131457454810[[#This Row],[Столбец2]]-Таблица22462791012131457454810[[#This Row],[Столбец3]]</f>
        <v>2769.6806690000003</v>
      </c>
      <c r="E49" s="132">
        <f>Таблица22462791012131457454810[[#This Row],[Столбец2]]*100/Таблица22462791012131457454810[[#This Row],[Столбец3]]-100</f>
        <v>41.159538995090969</v>
      </c>
      <c r="F49" s="132">
        <f>B49/$B$5*100</f>
        <v>4.6747954642398142</v>
      </c>
      <c r="G49" s="280">
        <f t="shared" si="0"/>
        <v>5.719937976093699</v>
      </c>
      <c r="H49" s="205">
        <f>Таблица22462791012131457454810[[#This Row],[Столбец3]]*12.7%</f>
        <v>854.60006003700005</v>
      </c>
      <c r="I49" s="205"/>
      <c r="J49" s="225" t="e">
        <f>5498.2-#REF!</f>
        <v>#REF!</v>
      </c>
    </row>
    <row r="50" spans="1:10" s="133" customFormat="1" ht="21" x14ac:dyDescent="0.2">
      <c r="A50" s="279" t="s">
        <v>34</v>
      </c>
      <c r="B50" s="132">
        <f t="shared" si="3"/>
        <v>1031.248</v>
      </c>
      <c r="C50" s="96">
        <f t="shared" si="3"/>
        <v>1144.1570000000002</v>
      </c>
      <c r="D50" s="96">
        <f>Таблица22462791012131457454810[[#This Row],[Столбец2]]-Таблица22462791012131457454810[[#This Row],[Столбец3]]</f>
        <v>112.90900000000011</v>
      </c>
      <c r="E50" s="132">
        <f>Таблица22462791012131457454810[[#This Row],[Столбец2]]*100/Таблица22462791012131457454810[[#This Row],[Столбец3]]-100</f>
        <v>10.948772749135031</v>
      </c>
      <c r="F50" s="132">
        <f>B50/$B$5*100</f>
        <v>0.71641807634860544</v>
      </c>
      <c r="G50" s="280">
        <f t="shared" si="0"/>
        <v>0.68898142293680198</v>
      </c>
      <c r="H50" s="205">
        <f>Таблица22462791012131457454810[[#This Row],[Столбец3]]*12.7%</f>
        <v>130.96849600000002</v>
      </c>
      <c r="I50" s="205"/>
      <c r="J50" s="225" t="e">
        <f>5498.2-#REF!</f>
        <v>#REF!</v>
      </c>
    </row>
    <row r="51" spans="1:10" s="133" customFormat="1" ht="21" hidden="1" customHeight="1" outlineLevel="1" x14ac:dyDescent="0.2">
      <c r="A51" s="279" t="s">
        <v>35</v>
      </c>
      <c r="B51" s="132">
        <f t="shared" si="3"/>
        <v>7985.6803199999995</v>
      </c>
      <c r="C51" s="96">
        <f t="shared" si="3"/>
        <v>9771.1110000000008</v>
      </c>
      <c r="D51" s="96">
        <f>Таблица22462791012131457454810[[#This Row],[Столбец2]]-Таблица22462791012131457454810[[#This Row],[Столбец3]]</f>
        <v>1785.4306800000013</v>
      </c>
      <c r="E51" s="132">
        <f>Таблица22462791012131457454810[[#This Row],[Столбец2]]*100/Таблица22462791012131457454810[[#This Row],[Столбец3]]-100</f>
        <v>22.357903252505878</v>
      </c>
      <c r="F51" s="132">
        <f>B51/$B$5*100</f>
        <v>5.5477302580846848</v>
      </c>
      <c r="G51" s="280">
        <f t="shared" si="0"/>
        <v>5.8839075060970112</v>
      </c>
      <c r="H51" s="205">
        <f>Таблица22462791012131457454810[[#This Row],[Столбец3]]*12.7%</f>
        <v>1014.18140064</v>
      </c>
      <c r="I51" s="205"/>
      <c r="J51" s="225" t="e">
        <f>5498.2-#REF!</f>
        <v>#REF!</v>
      </c>
    </row>
    <row r="52" spans="1:10" s="133" customFormat="1" ht="21" hidden="1" customHeight="1" outlineLevel="1" x14ac:dyDescent="0.2">
      <c r="A52" s="281" t="s">
        <v>102</v>
      </c>
      <c r="B52" s="132">
        <f t="shared" si="3"/>
        <v>143.61590699999999</v>
      </c>
      <c r="C52" s="96">
        <f>C60+C68+C76+C84</f>
        <v>161.90599999999998</v>
      </c>
      <c r="D52" s="96">
        <f>Таблица22462791012131457454810[[#This Row],[Столбец2]]-Таблица22462791012131457454810[[#This Row],[Столбец3]]</f>
        <v>18.290092999999985</v>
      </c>
      <c r="E52" s="132">
        <f>Таблица22462791012131457454810[[#This Row],[Столбец2]]*100/Таблица22462791012131457454810[[#This Row],[Столбец3]]-100</f>
        <v>12.735422824715371</v>
      </c>
      <c r="F52" s="132">
        <f>B52/$B$5*100</f>
        <v>9.9771375872729162E-2</v>
      </c>
      <c r="G52" s="280">
        <f t="shared" si="0"/>
        <v>9.7495558967874013E-2</v>
      </c>
      <c r="H52" s="232">
        <f>Таблица22462791012131457454810[[#This Row],[Столбец3]]*12.7%</f>
        <v>18.239220189000001</v>
      </c>
      <c r="I52" s="205"/>
      <c r="J52" s="232" t="e">
        <f>5498.2-#REF!</f>
        <v>#REF!</v>
      </c>
    </row>
    <row r="53" spans="1:10" s="133" customFormat="1" ht="21" collapsed="1" x14ac:dyDescent="0.2">
      <c r="A53" s="283" t="s">
        <v>28</v>
      </c>
      <c r="B53" s="134">
        <f>B61+B69+B85</f>
        <v>1360.6921130000001</v>
      </c>
      <c r="C53" s="91">
        <f>C61+C69+C77+C85</f>
        <v>1454.318</v>
      </c>
      <c r="D53" s="91">
        <f>Таблица22462791012131457454810[[#This Row],[Столбец2]]-Таблица22462791012131457454810[[#This Row],[Столбец3]]</f>
        <v>93.625886999999921</v>
      </c>
      <c r="E53" s="134">
        <f>Таблица22462791012131457454810[[#This Row],[Столбец2]]*100/Таблица22462791012131457454810[[#This Row],[Столбец3]]-100</f>
        <v>6.8807547354395382</v>
      </c>
      <c r="F53" s="134">
        <f>B53/$B$5*100</f>
        <v>0.94528612525617417</v>
      </c>
      <c r="G53" s="276">
        <f t="shared" si="0"/>
        <v>0.87575226567910158</v>
      </c>
      <c r="H53" s="205">
        <f>Таблица22462791012131457454810[[#This Row],[Столбец3]]*12.7%</f>
        <v>172.80789835100001</v>
      </c>
      <c r="I53" s="205"/>
      <c r="J53" s="225" t="e">
        <f>5498.2-#REF!</f>
        <v>#REF!</v>
      </c>
    </row>
    <row r="54" spans="1:10" s="133" customFormat="1" ht="21" x14ac:dyDescent="0.2">
      <c r="A54" s="283" t="s">
        <v>29</v>
      </c>
      <c r="B54" s="134">
        <f>B62+B70+B78+B86</f>
        <v>1720.7375039999999</v>
      </c>
      <c r="C54" s="91">
        <f>C62+C70+C78+C86</f>
        <v>1889.2399999999998</v>
      </c>
      <c r="D54" s="91">
        <f>Таблица22462791012131457454810[[#This Row],[Столбец2]]-Таблица22462791012131457454810[[#This Row],[Столбец3]]</f>
        <v>168.50249599999984</v>
      </c>
      <c r="E54" s="134">
        <f>Таблица22462791012131457454810[[#This Row],[Столбец2]]*100/Таблица22462791012131457454810[[#This Row],[Столбец3]]-100</f>
        <v>9.7924579204150177</v>
      </c>
      <c r="F54" s="134">
        <f>B54/$B$5*100</f>
        <v>1.1954131814234603</v>
      </c>
      <c r="G54" s="276">
        <f t="shared" si="0"/>
        <v>1.1376509198205522</v>
      </c>
      <c r="H54" s="205">
        <f>Таблица22462791012131457454810[[#This Row],[Столбец3]]*12.7%</f>
        <v>218.53366300799999</v>
      </c>
      <c r="I54" s="205"/>
      <c r="J54" s="225" t="e">
        <f>5498.2-#REF!</f>
        <v>#REF!</v>
      </c>
    </row>
    <row r="55" spans="1:10" s="133" customFormat="1" ht="21" x14ac:dyDescent="0.2">
      <c r="A55" s="291" t="s">
        <v>2</v>
      </c>
      <c r="B55" s="218">
        <f>SUM(B56,B61,B62)</f>
        <v>8231.8673260000014</v>
      </c>
      <c r="C55" s="218">
        <f>SUM(C56,C61,C62)</f>
        <v>10909.493</v>
      </c>
      <c r="D55" s="218">
        <f>Таблица22462791012131457454810[[#This Row],[Столбец2]]-Таблица22462791012131457454810[[#This Row],[Столбец3]]</f>
        <v>2677.625673999999</v>
      </c>
      <c r="E55" s="218">
        <f>Таблица22462791012131457454810[[#This Row],[Столбец2]]*100/Таблица22462791012131457454810[[#This Row],[Столбец3]]-100</f>
        <v>32.527561098352891</v>
      </c>
      <c r="F55" s="218">
        <f>B55/$B$5*100</f>
        <v>5.7187587800896189</v>
      </c>
      <c r="G55" s="273">
        <f t="shared" si="0"/>
        <v>6.5694113750639813</v>
      </c>
      <c r="H55" s="205">
        <f>Таблица22462791012131457454810[[#This Row],[Столбец3]]*12.7%</f>
        <v>1045.4471504020003</v>
      </c>
      <c r="I55" s="205"/>
      <c r="J55" s="225" t="e">
        <f>5498.2-#REF!</f>
        <v>#REF!</v>
      </c>
    </row>
    <row r="56" spans="1:10" s="133" customFormat="1" ht="21" x14ac:dyDescent="0.2">
      <c r="A56" s="283" t="s">
        <v>27</v>
      </c>
      <c r="B56" s="154">
        <f>B57+B58+B59+B60</f>
        <v>6460.2870260000009</v>
      </c>
      <c r="C56" s="99">
        <f>C57+C58+C59+C60</f>
        <v>8846.17</v>
      </c>
      <c r="D56" s="99">
        <f>Таблица22462791012131457454810[[#This Row],[Столбец2]]-Таблица22462791012131457454810[[#This Row],[Столбец3]]</f>
        <v>2385.8829739999992</v>
      </c>
      <c r="E56" s="154">
        <f>Таблица22462791012131457454810[[#This Row],[Столбец2]]*100/Таблица22462791012131457454810[[#This Row],[Столбец3]]-100</f>
        <v>36.931532057287853</v>
      </c>
      <c r="F56" s="154">
        <f>B56/$B$5*100</f>
        <v>4.4880246107888428</v>
      </c>
      <c r="G56" s="285">
        <f t="shared" si="0"/>
        <v>5.3269322253334535</v>
      </c>
      <c r="H56" s="205">
        <f>Таблица22462791012131457454810[[#This Row],[Столбец3]]*12.7%</f>
        <v>820.45645230200012</v>
      </c>
      <c r="I56" s="205"/>
      <c r="J56" s="225" t="e">
        <f>5498.2-#REF!</f>
        <v>#REF!</v>
      </c>
    </row>
    <row r="57" spans="1:10" s="133" customFormat="1" ht="21" x14ac:dyDescent="0.2">
      <c r="A57" s="279" t="s">
        <v>33</v>
      </c>
      <c r="B57" s="132">
        <v>4463.64912</v>
      </c>
      <c r="C57" s="96">
        <v>6381.7460000000001</v>
      </c>
      <c r="D57" s="96">
        <f>Таблица22462791012131457454810[[#This Row],[Столбец2]]-Таблица22462791012131457454810[[#This Row],[Столбец3]]</f>
        <v>1918.0968800000001</v>
      </c>
      <c r="E57" s="132">
        <f>Таблица22462791012131457454810[[#This Row],[Столбец2]]*100/Таблица22462791012131457454810[[#This Row],[Столбец3]]-100</f>
        <v>42.971497723817492</v>
      </c>
      <c r="F57" s="132">
        <f>B57/$B$5*100</f>
        <v>3.1009407204140471</v>
      </c>
      <c r="G57" s="280">
        <f t="shared" si="0"/>
        <v>3.8429205431608104</v>
      </c>
      <c r="H57" s="205">
        <f>Таблица22462791012131457454810[[#This Row],[Столбец3]]*12.7%</f>
        <v>566.88343824000003</v>
      </c>
      <c r="I57" s="205"/>
      <c r="J57" s="225" t="e">
        <f>5498.2-#REF!</f>
        <v>#REF!</v>
      </c>
    </row>
    <row r="58" spans="1:10" s="133" customFormat="1" ht="21" x14ac:dyDescent="0.2">
      <c r="A58" s="279" t="s">
        <v>34</v>
      </c>
      <c r="B58" s="154">
        <v>455.16699999999997</v>
      </c>
      <c r="C58" s="99">
        <v>492.154</v>
      </c>
      <c r="D58" s="99">
        <f>Таблица22462791012131457454810[[#This Row],[Столбец2]]-Таблица22462791012131457454810[[#This Row],[Столбец3]]</f>
        <v>36.987000000000023</v>
      </c>
      <c r="E58" s="154">
        <f>Таблица22462791012131457454810[[#This Row],[Столбец2]]*100/Таблица22462791012131457454810[[#This Row],[Столбец3]]-100</f>
        <v>8.1260284686719473</v>
      </c>
      <c r="F58" s="154">
        <f>B58/$B$5*100</f>
        <v>0.31620896870332416</v>
      </c>
      <c r="G58" s="285">
        <f t="shared" si="0"/>
        <v>0.29636226778670999</v>
      </c>
      <c r="H58" s="205">
        <f>Таблица22462791012131457454810[[#This Row],[Столбец3]]*12.7%</f>
        <v>57.806208999999996</v>
      </c>
      <c r="I58" s="205"/>
      <c r="J58" s="225" t="e">
        <f>5498.2-#REF!</f>
        <v>#REF!</v>
      </c>
    </row>
    <row r="59" spans="1:10" s="136" customFormat="1" ht="21" hidden="1" customHeight="1" outlineLevel="1" x14ac:dyDescent="0.2">
      <c r="A59" s="279" t="s">
        <v>95</v>
      </c>
      <c r="B59" s="132">
        <v>1492.11646</v>
      </c>
      <c r="C59" s="96">
        <v>1907.298</v>
      </c>
      <c r="D59" s="96">
        <f>Таблица22462791012131457454810[[#This Row],[Столбец2]]-Таблица22462791012131457454810[[#This Row],[Столбец3]]</f>
        <v>415.18154000000004</v>
      </c>
      <c r="E59" s="132">
        <f>Таблица22462791012131457454810[[#This Row],[Столбец2]]*100/Таблица22462791012131457454810[[#This Row],[Столбец3]]-100</f>
        <v>27.82500904788624</v>
      </c>
      <c r="F59" s="132">
        <f>B59/$B$5*100</f>
        <v>1.0365879051026432</v>
      </c>
      <c r="G59" s="280">
        <f t="shared" si="0"/>
        <v>1.1485249751603288</v>
      </c>
      <c r="H59" s="205">
        <f>Таблица22462791012131457454810[[#This Row],[Столбец3]]*12.7%</f>
        <v>189.49879042000001</v>
      </c>
      <c r="I59" s="205"/>
      <c r="J59" s="225" t="e">
        <f>5498.2-#REF!</f>
        <v>#REF!</v>
      </c>
    </row>
    <row r="60" spans="1:10" s="133" customFormat="1" ht="36" hidden="1" customHeight="1" outlineLevel="1" x14ac:dyDescent="0.2">
      <c r="A60" s="281" t="s">
        <v>102</v>
      </c>
      <c r="B60" s="199">
        <v>49.354446000000003</v>
      </c>
      <c r="C60" s="96">
        <v>64.971999999999994</v>
      </c>
      <c r="D60" s="96">
        <f>Таблица22462791012131457454810[[#This Row],[Столбец2]]-Таблица22462791012131457454810[[#This Row],[Столбец3]]</f>
        <v>15.617553999999991</v>
      </c>
      <c r="E60" s="132">
        <f>Таблица22462791012131457454810[[#This Row],[Столбец2]]*100/Таблица22462791012131457454810[[#This Row],[Столбец3]]-100</f>
        <v>31.64366184963356</v>
      </c>
      <c r="F60" s="132">
        <f>B60/$B$5*100</f>
        <v>3.4287016568828377E-2</v>
      </c>
      <c r="G60" s="280">
        <f t="shared" si="0"/>
        <v>3.9124439225604428E-2</v>
      </c>
      <c r="H60" s="228">
        <f>Таблица22462791012131457454810[[#This Row],[Столбец3]]*12.7%</f>
        <v>6.2680146420000007</v>
      </c>
      <c r="I60" s="225"/>
      <c r="J60" s="228" t="e">
        <f>5498.2-#REF!</f>
        <v>#REF!</v>
      </c>
    </row>
    <row r="61" spans="1:10" s="133" customFormat="1" ht="21" collapsed="1" x14ac:dyDescent="0.2">
      <c r="A61" s="283" t="s">
        <v>28</v>
      </c>
      <c r="B61" s="134">
        <v>612.52500499999996</v>
      </c>
      <c r="C61" s="91">
        <v>802.95399999999995</v>
      </c>
      <c r="D61" s="91">
        <f>Таблица22462791012131457454810[[#This Row],[Столбец2]]-Таблица22462791012131457454810[[#This Row],[Столбец3]]</f>
        <v>190.42899499999999</v>
      </c>
      <c r="E61" s="134">
        <f>Таблица22462791012131457454810[[#This Row],[Столбец2]]*100/Таблица22462791012131457454810[[#This Row],[Столбец3]]-100</f>
        <v>31.089178963395938</v>
      </c>
      <c r="F61" s="134">
        <f>B61/$B$5*100</f>
        <v>0.42552711452290803</v>
      </c>
      <c r="G61" s="276">
        <f t="shared" si="0"/>
        <v>0.4835178996176196</v>
      </c>
      <c r="H61" s="205">
        <f>Таблица22462791012131457454810[[#This Row],[Столбец3]]*12.7%</f>
        <v>77.790675634999999</v>
      </c>
      <c r="I61" s="205"/>
      <c r="J61" s="225" t="e">
        <f>5498.2-#REF!</f>
        <v>#REF!</v>
      </c>
    </row>
    <row r="62" spans="1:10" s="133" customFormat="1" ht="21" x14ac:dyDescent="0.2">
      <c r="A62" s="283" t="s">
        <v>29</v>
      </c>
      <c r="B62" s="134">
        <v>1159.0552949999999</v>
      </c>
      <c r="C62" s="91">
        <v>1260.3689999999999</v>
      </c>
      <c r="D62" s="91">
        <f>Таблица22462791012131457454810[[#This Row],[Столбец2]]-Таблица22462791012131457454810[[#This Row],[Столбец3]]</f>
        <v>101.31370500000003</v>
      </c>
      <c r="E62" s="134">
        <f>Таблица22462791012131457454810[[#This Row],[Столбец2]]*100/Таблица22462791012131457454810[[#This Row],[Столбец3]]-100</f>
        <v>8.7410588120388155</v>
      </c>
      <c r="F62" s="134">
        <f>B62/$B$5*100</f>
        <v>0.80520705477786647</v>
      </c>
      <c r="G62" s="276">
        <f t="shared" si="0"/>
        <v>0.7589612501129076</v>
      </c>
      <c r="H62" s="205">
        <f>Таблица22462791012131457454810[[#This Row],[Столбец3]]*12.7%</f>
        <v>147.20002246499999</v>
      </c>
      <c r="I62" s="205"/>
      <c r="J62" s="225" t="e">
        <f>5498.2-#REF!</f>
        <v>#REF!</v>
      </c>
    </row>
    <row r="63" spans="1:10" s="133" customFormat="1" ht="21" x14ac:dyDescent="0.2">
      <c r="A63" s="291" t="s">
        <v>47</v>
      </c>
      <c r="B63" s="218">
        <f>SUM(B64,B69,B70)</f>
        <v>3488.9271859999999</v>
      </c>
      <c r="C63" s="218">
        <f>SUM(C64,C69,C70)</f>
        <v>4329.1030000000001</v>
      </c>
      <c r="D63" s="218">
        <f>Таблица22462791012131457454810[[#This Row],[Столбец2]]-Таблица22462791012131457454810[[#This Row],[Столбец3]]</f>
        <v>840.17581400000017</v>
      </c>
      <c r="E63" s="218">
        <f>Таблица22462791012131457454810[[#This Row],[Столбец2]]*100/Таблица22462791012131457454810[[#This Row],[Столбец3]]-100</f>
        <v>24.08120803928982</v>
      </c>
      <c r="F63" s="218">
        <f>B63/$B$5*100</f>
        <v>2.4237918552224809</v>
      </c>
      <c r="G63" s="273">
        <f t="shared" si="0"/>
        <v>2.6068726101225423</v>
      </c>
      <c r="H63" s="205">
        <f>Таблица22462791012131457454810[[#This Row],[Столбец3]]*12.7%</f>
        <v>443.09375262200001</v>
      </c>
      <c r="I63" s="205"/>
      <c r="J63" s="225" t="e">
        <f>5498.2-#REF!</f>
        <v>#REF!</v>
      </c>
    </row>
    <row r="64" spans="1:10" s="133" customFormat="1" ht="21" x14ac:dyDescent="0.2">
      <c r="A64" s="283" t="s">
        <v>27</v>
      </c>
      <c r="B64" s="134">
        <f>SUM(B65:B68)</f>
        <v>2773.984019</v>
      </c>
      <c r="C64" s="91">
        <f>SUM(C65:C68)</f>
        <v>3545.2359999999999</v>
      </c>
      <c r="D64" s="91">
        <f>Таблица22462791012131457454810[[#This Row],[Столбец2]]-Таблица22462791012131457454810[[#This Row],[Столбец3]]</f>
        <v>771.25198099999989</v>
      </c>
      <c r="E64" s="134">
        <f>Таблица22462791012131457454810[[#This Row],[Столбец2]]*100/Таблица22462791012131457454810[[#This Row],[Столбец3]]-100</f>
        <v>27.803043410395361</v>
      </c>
      <c r="F64" s="134">
        <f>B64/$B$5*100</f>
        <v>1.927113841397756</v>
      </c>
      <c r="G64" s="276">
        <f t="shared" si="0"/>
        <v>2.1348484027338692</v>
      </c>
      <c r="H64" s="205">
        <f>Таблица22462791012131457454810[[#This Row],[Столбец3]]*12.7%</f>
        <v>352.29597041300002</v>
      </c>
      <c r="I64" s="205"/>
      <c r="J64" s="225" t="e">
        <f>5498.2-#REF!</f>
        <v>#REF!</v>
      </c>
    </row>
    <row r="65" spans="1:10" s="133" customFormat="1" ht="21" x14ac:dyDescent="0.2">
      <c r="A65" s="279" t="s">
        <v>33</v>
      </c>
      <c r="B65" s="134">
        <v>1910.3815689999999</v>
      </c>
      <c r="C65" s="91">
        <v>2615.94</v>
      </c>
      <c r="D65" s="91">
        <f>Таблица22462791012131457454810[[#This Row],[Столбец2]]-Таблица22462791012131457454810[[#This Row],[Столбец3]]</f>
        <v>705.55843100000016</v>
      </c>
      <c r="E65" s="134">
        <f>Таблица22462791012131457454810[[#This Row],[Столбец2]]*100/Таблица22462791012131457454810[[#This Row],[Столбец3]]-100</f>
        <v>36.932853752841055</v>
      </c>
      <c r="F65" s="134">
        <f>B65/$B$5*100</f>
        <v>1.3271607690437319</v>
      </c>
      <c r="G65" s="276">
        <f t="shared" si="0"/>
        <v>1.5752506548640595</v>
      </c>
      <c r="H65" s="205">
        <f>Таблица22462791012131457454810[[#This Row],[Столбец3]]*12.7%</f>
        <v>242.61845926299998</v>
      </c>
      <c r="I65" s="205"/>
      <c r="J65" s="225" t="e">
        <f>5498.2-#REF!</f>
        <v>#REF!</v>
      </c>
    </row>
    <row r="66" spans="1:10" s="133" customFormat="1" ht="21" x14ac:dyDescent="0.2">
      <c r="A66" s="279" t="s">
        <v>34</v>
      </c>
      <c r="B66" s="154">
        <v>93.156999999999996</v>
      </c>
      <c r="C66" s="99">
        <v>108.714</v>
      </c>
      <c r="D66" s="99">
        <f>Таблица22462791012131457454810[[#This Row],[Столбец2]]-Таблица22462791012131457454810[[#This Row],[Столбец3]]</f>
        <v>15.557000000000002</v>
      </c>
      <c r="E66" s="154">
        <f>Таблица22462791012131457454810[[#This Row],[Столбец2]]*100/Таблица22462791012131457454810[[#This Row],[Столбец3]]-100</f>
        <v>16.699764912996343</v>
      </c>
      <c r="F66" s="154">
        <f>B66/$B$5*100</f>
        <v>6.4717079440063913E-2</v>
      </c>
      <c r="G66" s="285">
        <f t="shared" si="0"/>
        <v>6.5464727666877415E-2</v>
      </c>
      <c r="H66" s="205">
        <f>Таблица22462791012131457454810[[#This Row],[Столбец3]]*12.7%</f>
        <v>11.830938999999999</v>
      </c>
      <c r="I66" s="205"/>
      <c r="J66" s="225" t="e">
        <f>5498.2-#REF!</f>
        <v>#REF!</v>
      </c>
    </row>
    <row r="67" spans="1:10" s="133" customFormat="1" ht="36" hidden="1" customHeight="1" outlineLevel="1" x14ac:dyDescent="0.2">
      <c r="A67" s="279" t="s">
        <v>35</v>
      </c>
      <c r="B67" s="132">
        <v>701.47239200000001</v>
      </c>
      <c r="C67" s="96">
        <v>750.14700000000005</v>
      </c>
      <c r="D67" s="96">
        <f>Таблица22462791012131457454810[[#This Row],[Столбец2]]-Таблица22462791012131457454810[[#This Row],[Столбец3]]</f>
        <v>48.674608000000035</v>
      </c>
      <c r="E67" s="132">
        <f>Таблица22462791012131457454810[[#This Row],[Столбец2]]*100/Таблица22462791012131457454810[[#This Row],[Столбец3]]-100</f>
        <v>6.9389199853214052</v>
      </c>
      <c r="F67" s="132">
        <f>B67/$B$5*100</f>
        <v>0.4873197346208622</v>
      </c>
      <c r="G67" s="280">
        <f t="shared" si="0"/>
        <v>0.45171890524794511</v>
      </c>
      <c r="H67" s="205">
        <f>Таблица22462791012131457454810[[#This Row],[Столбец3]]*12.7%</f>
        <v>89.086993784000001</v>
      </c>
      <c r="I67" s="205"/>
      <c r="J67" s="225" t="e">
        <f>5498.2-#REF!</f>
        <v>#REF!</v>
      </c>
    </row>
    <row r="68" spans="1:10" s="133" customFormat="1" ht="36" hidden="1" customHeight="1" outlineLevel="1" x14ac:dyDescent="0.2">
      <c r="A68" s="281" t="s">
        <v>102</v>
      </c>
      <c r="B68" s="199">
        <v>68.973057999999995</v>
      </c>
      <c r="C68" s="96">
        <v>70.435000000000002</v>
      </c>
      <c r="D68" s="96">
        <f>Таблица22462791012131457454810[[#This Row],[Столбец2]]-Таблица22462791012131457454810[[#This Row],[Столбец3]]</f>
        <v>1.4619420000000076</v>
      </c>
      <c r="E68" s="132">
        <f>Таблица22462791012131457454810[[#This Row],[Столбец2]]*100/Таблица22462791012131457454810[[#This Row],[Столбец3]]-100</f>
        <v>2.1195841425502806</v>
      </c>
      <c r="F68" s="132">
        <f>B68/$B$5*100</f>
        <v>4.7916258293098056E-2</v>
      </c>
      <c r="G68" s="280">
        <f t="shared" si="0"/>
        <v>4.2414114954987502E-2</v>
      </c>
      <c r="H68" s="228">
        <f>Таблица22462791012131457454810[[#This Row],[Столбец3]]*12.7%</f>
        <v>8.7595783659999995</v>
      </c>
      <c r="I68" s="225"/>
      <c r="J68" s="228" t="e">
        <f>5498.2-#REF!</f>
        <v>#REF!</v>
      </c>
    </row>
    <row r="69" spans="1:10" s="133" customFormat="1" ht="21" collapsed="1" x14ac:dyDescent="0.2">
      <c r="A69" s="283" t="s">
        <v>28</v>
      </c>
      <c r="B69" s="134">
        <v>368.03905400000002</v>
      </c>
      <c r="C69" s="91">
        <v>386.14100000000002</v>
      </c>
      <c r="D69" s="91">
        <f>Таблица22462791012131457454810[[#This Row],[Столбец2]]-Таблица22462791012131457454810[[#This Row],[Столбец3]]</f>
        <v>18.101945999999998</v>
      </c>
      <c r="E69" s="134">
        <f>Таблица22462791012131457454810[[#This Row],[Столбец2]]*100/Таблица22462791012131457454810[[#This Row],[Столбец3]]-100</f>
        <v>4.9184850909871045</v>
      </c>
      <c r="F69" s="134">
        <f>B69/$B$5*100</f>
        <v>0.25568033207127727</v>
      </c>
      <c r="G69" s="276">
        <f t="shared" si="0"/>
        <v>0.23252401168217265</v>
      </c>
      <c r="H69" s="205">
        <f>Таблица22462791012131457454810[[#This Row],[Столбец3]]*12.7%</f>
        <v>46.740959858000004</v>
      </c>
      <c r="I69" s="205"/>
      <c r="J69" s="225" t="e">
        <f>5498.2-#REF!</f>
        <v>#REF!</v>
      </c>
    </row>
    <row r="70" spans="1:10" s="133" customFormat="1" ht="21" x14ac:dyDescent="0.2">
      <c r="A70" s="283" t="s">
        <v>29</v>
      </c>
      <c r="B70" s="134">
        <v>346.904113</v>
      </c>
      <c r="C70" s="91">
        <v>397.726</v>
      </c>
      <c r="D70" s="91">
        <f>Таблица22462791012131457454810[[#This Row],[Столбец2]]-Таблица22462791012131457454810[[#This Row],[Столбец3]]</f>
        <v>50.821887000000004</v>
      </c>
      <c r="E70" s="134">
        <f>Таблица22462791012131457454810[[#This Row],[Столбец2]]*100/Таблица22462791012131457454810[[#This Row],[Столбец3]]-100</f>
        <v>14.650125235038644</v>
      </c>
      <c r="F70" s="134">
        <f>B70/$B$5*100</f>
        <v>0.24099768175344749</v>
      </c>
      <c r="G70" s="276">
        <f t="shared" si="0"/>
        <v>0.2395001957065005</v>
      </c>
      <c r="H70" s="207">
        <f>Таблица22462791012131457454810[[#This Row],[Столбец3]]*12.7%</f>
        <v>44.056822351000001</v>
      </c>
      <c r="I70" s="205"/>
      <c r="J70" s="225" t="e">
        <f>5498.2-#REF!</f>
        <v>#REF!</v>
      </c>
    </row>
    <row r="71" spans="1:10" s="133" customFormat="1" ht="21" x14ac:dyDescent="0.2">
      <c r="A71" s="291" t="s">
        <v>3</v>
      </c>
      <c r="B71" s="218">
        <f>SUM(B72,B77,B78)</f>
        <v>5533.583568</v>
      </c>
      <c r="C71" s="218">
        <f>SUM(C72,C77,C78)</f>
        <v>6962.1839999999993</v>
      </c>
      <c r="D71" s="218">
        <f>Таблица22462791012131457454810[[#This Row],[Столбец2]]-Таблица22462791012131457454810[[#This Row],[Столбец3]]</f>
        <v>1428.6004319999993</v>
      </c>
      <c r="E71" s="218">
        <f>Таблица22462791012131457454810[[#This Row],[Столбец2]]*100/Таблица22462791012131457454810[[#This Row],[Столбец3]]-100</f>
        <v>25.816912574726643</v>
      </c>
      <c r="F71" s="218">
        <f>B71/$B$5*100</f>
        <v>3.8442346507346556</v>
      </c>
      <c r="G71" s="273">
        <f t="shared" si="0"/>
        <v>4.1924451269081375</v>
      </c>
      <c r="H71" s="205">
        <f>Таблица22462791012131457454810[[#This Row],[Столбец3]]*12.7%</f>
        <v>702.76511313599997</v>
      </c>
      <c r="I71" s="205"/>
      <c r="J71" s="225" t="e">
        <f>5498.2-#REF!</f>
        <v>#REF!</v>
      </c>
    </row>
    <row r="72" spans="1:10" s="133" customFormat="1" ht="21" x14ac:dyDescent="0.2">
      <c r="A72" s="283" t="s">
        <v>27</v>
      </c>
      <c r="B72" s="154">
        <f>B73+B74+B75+B76</f>
        <v>5355.0372319999997</v>
      </c>
      <c r="C72" s="99">
        <f>C73+C74+C75+C76</f>
        <v>6661.799</v>
      </c>
      <c r="D72" s="99">
        <f>Таблица22462791012131457454810[[#This Row],[Столбец2]]-Таблица22462791012131457454810[[#This Row],[Столбец3]]</f>
        <v>1306.7617680000003</v>
      </c>
      <c r="E72" s="154">
        <f>Таблица22462791012131457454810[[#This Row],[Столбец2]]*100/Таблица22462791012131457454810[[#This Row],[Столбец3]]-100</f>
        <v>24.402477730522733</v>
      </c>
      <c r="F72" s="154">
        <f>B72/$B$5*100</f>
        <v>3.7201967640418214</v>
      </c>
      <c r="G72" s="285">
        <f t="shared" si="0"/>
        <v>4.0115611356998766</v>
      </c>
      <c r="H72" s="205">
        <f>Таблица22462791012131457454810[[#This Row],[Столбец3]]*12.7%</f>
        <v>680.08972846400002</v>
      </c>
      <c r="I72" s="205"/>
      <c r="J72" s="225" t="e">
        <f>5498.2-#REF!</f>
        <v>#REF!</v>
      </c>
    </row>
    <row r="73" spans="1:10" s="133" customFormat="1" ht="21" x14ac:dyDescent="0.2">
      <c r="A73" s="279" t="s">
        <v>33</v>
      </c>
      <c r="B73" s="134">
        <v>100.686148</v>
      </c>
      <c r="C73" s="91">
        <v>143.96799999999999</v>
      </c>
      <c r="D73" s="91">
        <f>Таблица22462791012131457454810[[#This Row],[Столбец2]]-Таблица22462791012131457454810[[#This Row],[Столбец3]]</f>
        <v>43.281851999999986</v>
      </c>
      <c r="E73" s="134">
        <f>Таблица22462791012131457454810[[#This Row],[Столбец2]]*100/Таблица22462791012131457454810[[#This Row],[Столбец3]]-100</f>
        <v>42.986898257345189</v>
      </c>
      <c r="F73" s="134">
        <f>B73/$B$5*100</f>
        <v>6.9947652228281643E-2</v>
      </c>
      <c r="G73" s="276">
        <f t="shared" si="0"/>
        <v>8.66937644898082E-2</v>
      </c>
      <c r="H73" s="205">
        <f>Таблица22462791012131457454810[[#This Row],[Столбец3]]*12.7%</f>
        <v>12.787140796000001</v>
      </c>
      <c r="I73" s="205"/>
      <c r="J73" s="225" t="e">
        <f>5498.2-#REF!</f>
        <v>#REF!</v>
      </c>
    </row>
    <row r="74" spans="1:10" s="133" customFormat="1" ht="21" x14ac:dyDescent="0.2">
      <c r="A74" s="279" t="s">
        <v>34</v>
      </c>
      <c r="B74" s="154">
        <v>22.5</v>
      </c>
      <c r="C74" s="99">
        <v>25.2</v>
      </c>
      <c r="D74" s="99">
        <f>Таблица22462791012131457454810[[#This Row],[Столбец2]]-Таблица22462791012131457454810[[#This Row],[Столбец3]]</f>
        <v>2.6999999999999993</v>
      </c>
      <c r="E74" s="154">
        <f>Таблица22462791012131457454810[[#This Row],[Столбец2]]*100/Таблица22462791012131457454810[[#This Row],[Столбец3]]-100</f>
        <v>12</v>
      </c>
      <c r="F74" s="154">
        <f>B74/$B$5*100</f>
        <v>1.5630970162214736E-2</v>
      </c>
      <c r="G74" s="285">
        <f t="shared" si="0"/>
        <v>1.5174780959262939E-2</v>
      </c>
      <c r="H74" s="205">
        <f>Таблица22462791012131457454810[[#This Row],[Столбец3]]*12.7%</f>
        <v>2.8574999999999999</v>
      </c>
      <c r="I74" s="205"/>
      <c r="J74" s="225" t="e">
        <f>5498.2-#REF!</f>
        <v>#REF!</v>
      </c>
    </row>
    <row r="75" spans="1:10" s="133" customFormat="1" ht="21" hidden="1" customHeight="1" outlineLevel="1" x14ac:dyDescent="0.2">
      <c r="A75" s="279" t="s">
        <v>95</v>
      </c>
      <c r="B75" s="155">
        <v>5224.8510839999999</v>
      </c>
      <c r="C75" s="93">
        <v>6484.6310000000003</v>
      </c>
      <c r="D75" s="93">
        <f>Таблица22462791012131457454810[[#This Row],[Столбец2]]-Таблица22462791012131457454810[[#This Row],[Столбец3]]</f>
        <v>1259.7799160000004</v>
      </c>
      <c r="E75" s="155">
        <f>Таблица22462791012131457454810[[#This Row],[Столбец2]]*100/Таблица22462791012131457454810[[#This Row],[Столбец3]]-100</f>
        <v>24.111307590331307</v>
      </c>
      <c r="F75" s="155">
        <f>B75/$B$5*100</f>
        <v>3.6297551731564139</v>
      </c>
      <c r="G75" s="286">
        <f t="shared" si="0"/>
        <v>3.9048751994700872</v>
      </c>
      <c r="H75" s="205">
        <f>Таблица22462791012131457454810[[#This Row],[Столбец3]]*12.7%</f>
        <v>663.55608766800003</v>
      </c>
      <c r="I75" s="205"/>
      <c r="J75" s="225" t="e">
        <f>5498.2-#REF!</f>
        <v>#REF!</v>
      </c>
    </row>
    <row r="76" spans="1:10" s="133" customFormat="1" ht="21" hidden="1" customHeight="1" outlineLevel="1" x14ac:dyDescent="0.2">
      <c r="A76" s="281" t="s">
        <v>102</v>
      </c>
      <c r="B76" s="231">
        <v>7</v>
      </c>
      <c r="C76" s="93">
        <v>8</v>
      </c>
      <c r="D76" s="93">
        <f>Таблица22462791012131457454810[[#This Row],[Столбец2]]-Таблица22462791012131457454810[[#This Row],[Столбец3]]</f>
        <v>1</v>
      </c>
      <c r="E76" s="155">
        <f>Таблица22462791012131457454810[[#This Row],[Столбец2]]*100/Таблица22462791012131457454810[[#This Row],[Столбец3]]-100</f>
        <v>14.285714285714292</v>
      </c>
      <c r="F76" s="155">
        <f>B76/$B$5*100</f>
        <v>4.8629684949112505E-3</v>
      </c>
      <c r="G76" s="286">
        <f t="shared" si="0"/>
        <v>4.8173907807183931E-3</v>
      </c>
      <c r="H76" s="228">
        <f>Таблица22462791012131457454810[[#This Row],[Столбец3]]*12.7%</f>
        <v>0.88900000000000001</v>
      </c>
      <c r="I76" s="225"/>
      <c r="J76" s="228" t="e">
        <f>5498.2-#REF!</f>
        <v>#REF!</v>
      </c>
    </row>
    <row r="77" spans="1:10" s="136" customFormat="1" ht="21" collapsed="1" x14ac:dyDescent="0.2">
      <c r="A77" s="283" t="s">
        <v>28</v>
      </c>
      <c r="B77" s="134">
        <v>0</v>
      </c>
      <c r="C77" s="91">
        <v>121.41800000000001</v>
      </c>
      <c r="D77" s="91">
        <f>Таблица22462791012131457454810[[#This Row],[Столбец2]]-Таблица22462791012131457454810[[#This Row],[Столбец3]]</f>
        <v>121.41800000000001</v>
      </c>
      <c r="E77" s="134"/>
      <c r="F77" s="134">
        <f>B77/$B$5*100</f>
        <v>0</v>
      </c>
      <c r="G77" s="276">
        <f t="shared" si="0"/>
        <v>7.3114744226658243E-2</v>
      </c>
      <c r="H77" s="205">
        <f>Таблица22462791012131457454810[[#This Row],[Столбец3]]*12.7%</f>
        <v>0</v>
      </c>
      <c r="I77" s="205"/>
      <c r="J77" s="225" t="e">
        <f>5498.2-#REF!</f>
        <v>#REF!</v>
      </c>
    </row>
    <row r="78" spans="1:10" s="133" customFormat="1" ht="21" x14ac:dyDescent="0.2">
      <c r="A78" s="283" t="s">
        <v>29</v>
      </c>
      <c r="B78" s="134">
        <v>178.546336</v>
      </c>
      <c r="C78" s="91">
        <v>178.96700000000001</v>
      </c>
      <c r="D78" s="91">
        <f>Таблица22462791012131457454810[[#This Row],[Столбец2]]-Таблица22462791012131457454810[[#This Row],[Столбец3]]</f>
        <v>0.42066400000001636</v>
      </c>
      <c r="E78" s="134">
        <f>Таблица22462791012131457454810[[#This Row],[Столбец2]]*100/Таблица22462791012131457454810[[#This Row],[Столбец3]]-100</f>
        <v>0.23560494683016486</v>
      </c>
      <c r="F78" s="134">
        <f>B78/$B$5*100</f>
        <v>0.12403788669283407</v>
      </c>
      <c r="G78" s="276">
        <f t="shared" si="0"/>
        <v>0.1077692469816036</v>
      </c>
      <c r="H78" s="205">
        <f>Таблица22462791012131457454810[[#This Row],[Столбец3]]*12.7%</f>
        <v>22.675384672</v>
      </c>
      <c r="I78" s="205"/>
      <c r="J78" s="225" t="e">
        <f>5498.2-#REF!</f>
        <v>#REF!</v>
      </c>
    </row>
    <row r="79" spans="1:10" s="133" customFormat="1" ht="21" x14ac:dyDescent="0.2">
      <c r="A79" s="291" t="s">
        <v>10</v>
      </c>
      <c r="B79" s="218">
        <f>SUM(B80,B85,B86)</f>
        <v>1716.7300949999999</v>
      </c>
      <c r="C79" s="218">
        <f>SUM(C80,C85,C86)</f>
        <v>1718.7669999999998</v>
      </c>
      <c r="D79" s="218">
        <f>Таблица22462791012131457454810[[#This Row],[Столбец2]]-Таблица22462791012131457454810[[#This Row],[Столбец3]]</f>
        <v>2.0369049999999334</v>
      </c>
      <c r="E79" s="218">
        <f>Таблица22462791012131457454810[[#This Row],[Столбец2]]*100/Таблица22462791012131457454810[[#This Row],[Столбец3]]-100</f>
        <v>0.11865027623925073</v>
      </c>
      <c r="F79" s="218">
        <f>B79/$B$5*100</f>
        <v>1.192629195178714</v>
      </c>
      <c r="G79" s="273">
        <f t="shared" si="0"/>
        <v>1.0349965375003762</v>
      </c>
      <c r="H79" s="205">
        <f>Таблица22462791012131457454810[[#This Row],[Столбец3]]*12.7%</f>
        <v>218.02472206499999</v>
      </c>
      <c r="I79" s="205"/>
      <c r="J79" s="225" t="e">
        <f>5498.2-#REF!</f>
        <v>#REF!</v>
      </c>
    </row>
    <row r="80" spans="1:10" s="133" customFormat="1" ht="21" x14ac:dyDescent="0.2">
      <c r="A80" s="283" t="s">
        <v>27</v>
      </c>
      <c r="B80" s="154">
        <f>B81+B82+B83+B84</f>
        <v>1300.370281</v>
      </c>
      <c r="C80" s="99">
        <f>C81+C82+C83+C84</f>
        <v>1522.7839999999999</v>
      </c>
      <c r="D80" s="99">
        <f>Таблица22462791012131457454810[[#This Row],[Столбец2]]-Таблица22462791012131457454810[[#This Row],[Столбец3]]</f>
        <v>222.4137189999999</v>
      </c>
      <c r="E80" s="154">
        <f>Таблица22462791012131457454810[[#This Row],[Столбец2]]*100/Таблица22462791012131457454810[[#This Row],[Столбец3]]-100</f>
        <v>17.103875892100618</v>
      </c>
      <c r="F80" s="154">
        <f>B80/$B$5*100</f>
        <v>0.90337995831741291</v>
      </c>
      <c r="G80" s="285">
        <f t="shared" si="0"/>
        <v>0.91698070032818468</v>
      </c>
      <c r="H80" s="205">
        <f>Таблица22462791012131457454810[[#This Row],[Столбец3]]*12.7%</f>
        <v>165.147025687</v>
      </c>
      <c r="I80" s="205"/>
      <c r="J80" s="225" t="e">
        <f>5498.2-#REF!</f>
        <v>#REF!</v>
      </c>
    </row>
    <row r="81" spans="1:10" s="133" customFormat="1" ht="21" x14ac:dyDescent="0.2">
      <c r="A81" s="279" t="s">
        <v>33</v>
      </c>
      <c r="B81" s="134">
        <v>254.417494</v>
      </c>
      <c r="C81" s="91">
        <v>357.161</v>
      </c>
      <c r="D81" s="91">
        <f>Таблица22462791012131457454810[[#This Row],[Столбец2]]-Таблица22462791012131457454810[[#This Row],[Столбец3]]</f>
        <v>102.743506</v>
      </c>
      <c r="E81" s="134">
        <f>Таблица22462791012131457454810[[#This Row],[Столбец2]]*100/Таблица22462791012131457454810[[#This Row],[Столбец3]]-100</f>
        <v>40.383821247763706</v>
      </c>
      <c r="F81" s="134">
        <f>B81/$B$5*100</f>
        <v>0.17674632255375317</v>
      </c>
      <c r="G81" s="276">
        <f t="shared" ref="G81:G148" si="4">C81/$C$5*100</f>
        <v>0.21507301357902026</v>
      </c>
      <c r="H81" s="207">
        <f>Таблица22462791012131457454810[[#This Row],[Столбец3]]*12.7%</f>
        <v>32.311021738000001</v>
      </c>
      <c r="I81" s="205"/>
      <c r="J81" s="225" t="e">
        <f>5498.2-#REF!</f>
        <v>#REF!</v>
      </c>
    </row>
    <row r="82" spans="1:10" s="133" customFormat="1" ht="21" x14ac:dyDescent="0.2">
      <c r="A82" s="279" t="s">
        <v>34</v>
      </c>
      <c r="B82" s="154">
        <v>460.42399999999998</v>
      </c>
      <c r="C82" s="99">
        <v>518.08900000000006</v>
      </c>
      <c r="D82" s="99">
        <f>Таблица22462791012131457454810[[#This Row],[Столбец2]]-Таблица22462791012131457454810[[#This Row],[Столбец3]]</f>
        <v>57.665000000000077</v>
      </c>
      <c r="E82" s="154">
        <f>Таблица22462791012131457454810[[#This Row],[Столбец2]]*100/Таблица22462791012131457454810[[#This Row],[Столбец3]]-100</f>
        <v>12.524325404409879</v>
      </c>
      <c r="F82" s="154">
        <f>B82/$B$5*100</f>
        <v>0.31986105804300252</v>
      </c>
      <c r="G82" s="285">
        <f t="shared" si="4"/>
        <v>0.31197964652395149</v>
      </c>
      <c r="H82" s="205">
        <f>Таблица22462791012131457454810[[#This Row],[Столбец3]]*12.7%</f>
        <v>58.473847999999997</v>
      </c>
      <c r="I82" s="205"/>
      <c r="J82" s="225" t="e">
        <f>5498.2-#REF!</f>
        <v>#REF!</v>
      </c>
    </row>
    <row r="83" spans="1:10" s="133" customFormat="1" ht="21" hidden="1" customHeight="1" outlineLevel="1" x14ac:dyDescent="0.2">
      <c r="A83" s="279" t="s">
        <v>35</v>
      </c>
      <c r="B83" s="132">
        <v>567.24038399999995</v>
      </c>
      <c r="C83" s="96">
        <v>629.03499999999997</v>
      </c>
      <c r="D83" s="96">
        <f>Таблица22462791012131457454810[[#This Row],[Столбец2]]-Таблица22462791012131457454810[[#This Row],[Столбец3]]</f>
        <v>61.794616000000019</v>
      </c>
      <c r="E83" s="132">
        <f>Таблица22462791012131457454810[[#This Row],[Столбец2]]*100/Таблица22462791012131457454810[[#This Row],[Столбец3]]-100</f>
        <v>10.893902786724027</v>
      </c>
      <c r="F83" s="132">
        <f>B82/$B$5*100</f>
        <v>0.31986105804300252</v>
      </c>
      <c r="G83" s="280">
        <f>C82/$C$5*100</f>
        <v>0.31197964652395149</v>
      </c>
      <c r="H83" s="205">
        <f>Таблица22462791012131457454810[[#This Row],[Столбец3]]*12.7%</f>
        <v>72.039528767999997</v>
      </c>
      <c r="I83" s="205"/>
      <c r="J83" s="225" t="e">
        <f>5498.2-#REF!</f>
        <v>#REF!</v>
      </c>
    </row>
    <row r="84" spans="1:10" s="133" customFormat="1" ht="36" hidden="1" customHeight="1" outlineLevel="1" x14ac:dyDescent="0.2">
      <c r="A84" s="281" t="s">
        <v>102</v>
      </c>
      <c r="B84" s="132">
        <v>18.288402999999999</v>
      </c>
      <c r="C84" s="96">
        <v>18.498999999999999</v>
      </c>
      <c r="D84" s="96">
        <f>Таблица22462791012131457454810[[#This Row],[Столбец2]]-Таблица22462791012131457454810[[#This Row],[Столбец3]]</f>
        <v>0.21059699999999992</v>
      </c>
      <c r="E84" s="132">
        <f>Таблица22462791012131457454810[[#This Row],[Столбец2]]*100/Таблица22462791012131457454810[[#This Row],[Столбец3]]-100</f>
        <v>1.1515330234138048</v>
      </c>
      <c r="F84" s="132">
        <f>B83/$B$5*100</f>
        <v>0.39406744520476572</v>
      </c>
      <c r="G84" s="280">
        <f>C83/$C$5*100</f>
        <v>0.37878842621864928</v>
      </c>
      <c r="H84" s="228">
        <f>Таблица22462791012131457454810[[#This Row],[Столбец3]]*12.7%</f>
        <v>2.3226271810000001</v>
      </c>
      <c r="I84" s="225"/>
      <c r="J84" s="228" t="e">
        <f>5498.2-#REF!</f>
        <v>#REF!</v>
      </c>
    </row>
    <row r="85" spans="1:10" s="133" customFormat="1" ht="21" collapsed="1" x14ac:dyDescent="0.2">
      <c r="A85" s="283" t="s">
        <v>28</v>
      </c>
      <c r="B85" s="134">
        <v>380.12805400000002</v>
      </c>
      <c r="C85" s="91">
        <v>143.80500000000001</v>
      </c>
      <c r="D85" s="91">
        <f>Таблица22462791012131457454810[[#This Row],[Столбец2]]-Таблица22462791012131457454810[[#This Row],[Столбец3]]</f>
        <v>-236.32305400000001</v>
      </c>
      <c r="E85" s="134">
        <f>Таблица22462791012131457454810[[#This Row],[Столбец2]]*100/Таблица22462791012131457454810[[#This Row],[Столбец3]]-100</f>
        <v>-62.16932728674638</v>
      </c>
      <c r="F85" s="134">
        <f>B85/$B$5*100</f>
        <v>0.26407867866198897</v>
      </c>
      <c r="G85" s="276">
        <f t="shared" si="4"/>
        <v>8.6595610152651076E-2</v>
      </c>
      <c r="H85" s="205">
        <f>Таблица22462791012131457454810[[#This Row],[Столбец3]]*12.7%</f>
        <v>48.276262858000003</v>
      </c>
      <c r="I85" s="205"/>
      <c r="J85" s="225" t="e">
        <f>5498.2-#REF!</f>
        <v>#REF!</v>
      </c>
    </row>
    <row r="86" spans="1:10" s="136" customFormat="1" ht="21" x14ac:dyDescent="0.2">
      <c r="A86" s="283" t="s">
        <v>29</v>
      </c>
      <c r="B86" s="134">
        <v>36.231760000000001</v>
      </c>
      <c r="C86" s="91">
        <v>52.177999999999997</v>
      </c>
      <c r="D86" s="91">
        <f>Таблица22462791012131457454810[[#This Row],[Столбец2]]-Таблица22462791012131457454810[[#This Row],[Столбец3]]</f>
        <v>15.946239999999996</v>
      </c>
      <c r="E86" s="134">
        <f>Таблица22462791012131457454810[[#This Row],[Столбец2]]*100/Таблица22462791012131457454810[[#This Row],[Столбец3]]-100</f>
        <v>44.01177309631106</v>
      </c>
      <c r="F86" s="134">
        <f>B86/$B$5*100</f>
        <v>2.5170558199312239E-2</v>
      </c>
      <c r="G86" s="276">
        <f t="shared" si="4"/>
        <v>3.1420227019540538E-2</v>
      </c>
      <c r="H86" s="205">
        <f>Таблица22462791012131457454810[[#This Row],[Столбец3]]*12.7%</f>
        <v>4.6014335200000005</v>
      </c>
      <c r="I86" s="205"/>
      <c r="J86" s="225" t="e">
        <f>5498.2-#REF!</f>
        <v>#REF!</v>
      </c>
    </row>
    <row r="87" spans="1:10" s="133" customFormat="1" ht="21" x14ac:dyDescent="0.2">
      <c r="A87" s="291" t="s">
        <v>13</v>
      </c>
      <c r="B87" s="218">
        <f>SUM(B88,B93,B94)</f>
        <v>15322.396808</v>
      </c>
      <c r="C87" s="218">
        <f>SUM(C88,C93,C94)</f>
        <v>15176.344999999998</v>
      </c>
      <c r="D87" s="218">
        <f>Таблица22462791012131457454810[[#This Row],[Столбец2]]-Таблица22462791012131457454810[[#This Row],[Столбец3]]</f>
        <v>-146.05180800000198</v>
      </c>
      <c r="E87" s="218">
        <f>Таблица22462791012131457454810[[#This Row],[Столбец2]]*100/Таблица22462791012131457454810[[#This Row],[Столбец3]]-100</f>
        <v>-0.95319165682843732</v>
      </c>
      <c r="F87" s="218">
        <f>B87/$B$5*100</f>
        <v>10.644618991976101</v>
      </c>
      <c r="G87" s="273">
        <f t="shared" si="4"/>
        <v>9.1387980610002106</v>
      </c>
      <c r="H87" s="205">
        <f>Таблица22462791012131457454810[[#This Row],[Столбец3]]*12.7%</f>
        <v>1945.944394616</v>
      </c>
      <c r="I87" s="205"/>
      <c r="J87" s="225" t="e">
        <f>5498.2-#REF!</f>
        <v>#REF!</v>
      </c>
    </row>
    <row r="88" spans="1:10" s="133" customFormat="1" ht="21" x14ac:dyDescent="0.2">
      <c r="A88" s="283" t="s">
        <v>27</v>
      </c>
      <c r="B88" s="134">
        <f>B96+B104+B112+B120+B127+B135</f>
        <v>5413.7762520000006</v>
      </c>
      <c r="C88" s="91">
        <f t="shared" ref="B88:C89" si="5">C96+C104+C112+C120+C127+C135</f>
        <v>5671.1629999999986</v>
      </c>
      <c r="D88" s="91">
        <f>Таблица22462791012131457454810[[#This Row],[Столбец2]]-Таблица22462791012131457454810[[#This Row],[Столбец3]]</f>
        <v>257.38674799999808</v>
      </c>
      <c r="E88" s="134">
        <f>Таблица22462791012131457454810[[#This Row],[Столбец2]]*100/Таблица22462791012131457454810[[#This Row],[Столбец3]]-100</f>
        <v>4.7542923094561189</v>
      </c>
      <c r="F88" s="134">
        <f>B88/$B$5*100</f>
        <v>3.7610033359963877</v>
      </c>
      <c r="G88" s="276">
        <f t="shared" si="4"/>
        <v>3.4150260440189073</v>
      </c>
      <c r="H88" s="205">
        <f>Таблица22462791012131457454810[[#This Row],[Столбец3]]*12.7%</f>
        <v>687.54958400400005</v>
      </c>
      <c r="I88" s="205"/>
      <c r="J88" s="225" t="e">
        <f>5498.2-#REF!</f>
        <v>#REF!</v>
      </c>
    </row>
    <row r="89" spans="1:10" s="133" customFormat="1" ht="21" x14ac:dyDescent="0.2">
      <c r="A89" s="279" t="s">
        <v>33</v>
      </c>
      <c r="B89" s="134">
        <f t="shared" si="5"/>
        <v>393.222084</v>
      </c>
      <c r="C89" s="91">
        <f t="shared" si="5"/>
        <v>558.35100000000011</v>
      </c>
      <c r="D89" s="91">
        <f>Таблица22462791012131457454810[[#This Row],[Столбец2]]-Таблица22462791012131457454810[[#This Row],[Столбец3]]</f>
        <v>165.12891600000012</v>
      </c>
      <c r="E89" s="134">
        <f>Таблица22462791012131457454810[[#This Row],[Столбец2]]*100/Таблица22462791012131457454810[[#This Row],[Столбец3]]-100</f>
        <v>41.993805210594473</v>
      </c>
      <c r="F89" s="134">
        <f>B89/$B$5*100</f>
        <v>0.27317522942790645</v>
      </c>
      <c r="G89" s="276">
        <f t="shared" si="4"/>
        <v>0.336224369975612</v>
      </c>
      <c r="H89" s="205">
        <f>Таблица22462791012131457454810[[#This Row],[Столбец3]]*12.7%</f>
        <v>49.939204668000002</v>
      </c>
      <c r="I89" s="205"/>
      <c r="J89" s="225" t="e">
        <f>5498.2-#REF!</f>
        <v>#REF!</v>
      </c>
    </row>
    <row r="90" spans="1:10" s="133" customFormat="1" ht="21" x14ac:dyDescent="0.2">
      <c r="A90" s="279" t="s">
        <v>34</v>
      </c>
      <c r="B90" s="134">
        <f>B98+B106+B114+B122+B129</f>
        <v>3539.8009999999999</v>
      </c>
      <c r="C90" s="91">
        <f>C98+C106+C114+C122+C129</f>
        <v>3586.7649999999999</v>
      </c>
      <c r="D90" s="91">
        <f>Таблица22462791012131457454810[[#This Row],[Столбец2]]-Таблица22462791012131457454810[[#This Row],[Столбец3]]</f>
        <v>46.963999999999942</v>
      </c>
      <c r="E90" s="134">
        <f>Таблица22462791012131457454810[[#This Row],[Столбец2]]*100/Таблица22462791012131457454810[[#This Row],[Столбец3]]-100</f>
        <v>1.3267412490137218</v>
      </c>
      <c r="F90" s="134">
        <f>B90/$B$5*100</f>
        <v>2.4591343916079058</v>
      </c>
      <c r="G90" s="276">
        <f t="shared" si="4"/>
        <v>2.1598560804504263</v>
      </c>
      <c r="H90" s="205">
        <f>Таблица22462791012131457454810[[#This Row],[Столбец3]]*12.7%</f>
        <v>449.55472700000001</v>
      </c>
      <c r="I90" s="205"/>
      <c r="J90" s="225" t="e">
        <f>5498.2-#REF!</f>
        <v>#REF!</v>
      </c>
    </row>
    <row r="91" spans="1:10" s="133" customFormat="1" ht="21" hidden="1" customHeight="1" outlineLevel="1" x14ac:dyDescent="0.2">
      <c r="A91" s="279" t="s">
        <v>35</v>
      </c>
      <c r="B91" s="132">
        <f t="shared" ref="B91:C92" si="6">B99+B107+B115+B123+B130+B137</f>
        <v>1429.8050040000001</v>
      </c>
      <c r="C91" s="96">
        <f t="shared" si="6"/>
        <v>1454.739</v>
      </c>
      <c r="D91" s="96">
        <f>Таблица22462791012131457454810[[#This Row],[Столбец2]]-Таблица22462791012131457454810[[#This Row],[Столбец3]]</f>
        <v>24.933995999999979</v>
      </c>
      <c r="E91" s="132">
        <f>Таблица22462791012131457454810[[#This Row],[Столбец2]]*100/Таблица22462791012131457454810[[#This Row],[Столбец3]]-100</f>
        <v>1.7438738800217521</v>
      </c>
      <c r="F91" s="132">
        <f>B91/$B$5*100</f>
        <v>0.99329952690263656</v>
      </c>
      <c r="G91" s="280">
        <f t="shared" si="4"/>
        <v>0.87600578086893688</v>
      </c>
      <c r="H91" s="205">
        <f>Таблица22462791012131457454810[[#This Row],[Столбец3]]*12.7%</f>
        <v>181.58523550800001</v>
      </c>
      <c r="I91" s="205"/>
      <c r="J91" s="225" t="e">
        <f>5498.2-#REF!</f>
        <v>#REF!</v>
      </c>
    </row>
    <row r="92" spans="1:10" s="133" customFormat="1" ht="21" hidden="1" customHeight="1" outlineLevel="1" x14ac:dyDescent="0.2">
      <c r="A92" s="281" t="s">
        <v>102</v>
      </c>
      <c r="B92" s="199">
        <f t="shared" si="6"/>
        <v>50.948163999999991</v>
      </c>
      <c r="C92" s="243">
        <f>C100+C108+C116+C124+C131+C138</f>
        <v>71.308000000000007</v>
      </c>
      <c r="D92" s="243">
        <f>Таблица22462791012131457454810[[#This Row],[Столбец2]]-Таблица22462791012131457454810[[#This Row],[Столбец3]]</f>
        <v>20.359836000000016</v>
      </c>
      <c r="E92" s="199">
        <f>Таблица22462791012131457454810[[#This Row],[Столбец2]]*100/Таблица22462791012131457454810[[#This Row],[Столбец3]]-100</f>
        <v>39.961863983950479</v>
      </c>
      <c r="F92" s="199">
        <f>B92/$B$5*100</f>
        <v>3.5394188057938793E-2</v>
      </c>
      <c r="G92" s="284">
        <f t="shared" si="4"/>
        <v>4.29398127239334E-2</v>
      </c>
      <c r="H92" s="228">
        <f>Таблица22462791012131457454810[[#This Row],[Столбец3]]*12.7%</f>
        <v>6.4704168279999994</v>
      </c>
      <c r="I92" s="225"/>
      <c r="J92" s="228" t="e">
        <f>5498.2-#REF!</f>
        <v>#REF!</v>
      </c>
    </row>
    <row r="93" spans="1:10" s="133" customFormat="1" ht="21" collapsed="1" x14ac:dyDescent="0.2">
      <c r="A93" s="283" t="s">
        <v>28</v>
      </c>
      <c r="B93" s="134">
        <f>B101+B109+B117+B132</f>
        <v>9758.2247160000006</v>
      </c>
      <c r="C93" s="91">
        <f>C101+C109+C117+C132</f>
        <v>9340.2019999999993</v>
      </c>
      <c r="D93" s="91">
        <f>Таблица22462791012131457454810[[#This Row],[Столбец2]]-Таблица22462791012131457454810[[#This Row],[Столбец3]]</f>
        <v>-418.02271600000131</v>
      </c>
      <c r="E93" s="134">
        <f>Таблица22462791012131457454810[[#This Row],[Столбец2]]*100/Таблица22462791012131457454810[[#This Row],[Столбец3]]-100</f>
        <v>-4.2837988278195098</v>
      </c>
      <c r="F93" s="134">
        <f>B93/$B$5*100</f>
        <v>6.7791341943103269</v>
      </c>
      <c r="G93" s="276">
        <f t="shared" si="4"/>
        <v>5.624425375605937</v>
      </c>
      <c r="H93" s="205">
        <f>Таблица22462791012131457454810[[#This Row],[Столбец3]]*12.7%</f>
        <v>1239.294538932</v>
      </c>
      <c r="I93" s="205"/>
      <c r="J93" s="225" t="e">
        <f>5498.2-#REF!</f>
        <v>#REF!</v>
      </c>
    </row>
    <row r="94" spans="1:10" s="133" customFormat="1" ht="21" x14ac:dyDescent="0.2">
      <c r="A94" s="283" t="s">
        <v>29</v>
      </c>
      <c r="B94" s="134">
        <f>B102+B110+B118+B125+B133+B139</f>
        <v>150.39583999999999</v>
      </c>
      <c r="C94" s="91">
        <f>C102+C110+C118+C125+C133+C139</f>
        <v>164.98</v>
      </c>
      <c r="D94" s="91">
        <f>Таблица22462791012131457454810[[#This Row],[Столбец2]]-Таблица22462791012131457454810[[#This Row],[Столбец3]]</f>
        <v>14.584159999999997</v>
      </c>
      <c r="E94" s="134">
        <f>Таблица22462791012131457454810[[#This Row],[Столбец2]]*100/Таблица22462791012131457454810[[#This Row],[Столбец3]]-100</f>
        <v>9.6971831135754911</v>
      </c>
      <c r="F94" s="134">
        <f>B94/$B$5*100</f>
        <v>0.10448146166938761</v>
      </c>
      <c r="G94" s="276">
        <f t="shared" si="4"/>
        <v>9.9346641375365058E-2</v>
      </c>
      <c r="H94" s="205">
        <f>Таблица22462791012131457454810[[#This Row],[Столбец3]]*12.7%</f>
        <v>19.100271679999999</v>
      </c>
      <c r="I94" s="205"/>
      <c r="J94" s="225" t="e">
        <f>5498.2-#REF!</f>
        <v>#REF!</v>
      </c>
    </row>
    <row r="95" spans="1:10" s="133" customFormat="1" ht="42" x14ac:dyDescent="0.2">
      <c r="A95" s="291" t="s">
        <v>11</v>
      </c>
      <c r="B95" s="218">
        <f>SUM(B96,B101,B102)</f>
        <v>1796.0806439999999</v>
      </c>
      <c r="C95" s="218">
        <f>SUM(C96,C101,C102)</f>
        <v>1871.7509999999997</v>
      </c>
      <c r="D95" s="218">
        <f>Таблица22462791012131457454810[[#This Row],[Столбец2]]-Таблица22462791012131457454810[[#This Row],[Столбец3]]</f>
        <v>75.670355999999856</v>
      </c>
      <c r="E95" s="218">
        <f>Таблица22462791012131457454810[[#This Row],[Столбец2]]*100/Таблица22462791012131457454810[[#This Row],[Столбец3]]-100</f>
        <v>4.2130823163639519</v>
      </c>
      <c r="F95" s="218">
        <f>B95/$B$5*100</f>
        <v>1.2477547980131298</v>
      </c>
      <c r="G95" s="273">
        <f t="shared" si="4"/>
        <v>1.1271195014000539</v>
      </c>
      <c r="H95" s="205">
        <f>Таблица22462791012131457454810[[#This Row],[Столбец3]]*12.7%</f>
        <v>228.10224178799999</v>
      </c>
      <c r="I95" s="205"/>
      <c r="J95" s="225" t="e">
        <f>5498.2-#REF!</f>
        <v>#REF!</v>
      </c>
    </row>
    <row r="96" spans="1:10" s="133" customFormat="1" ht="21" x14ac:dyDescent="0.2">
      <c r="A96" s="283" t="s">
        <v>27</v>
      </c>
      <c r="B96" s="154">
        <f>B97+B98+B99+B100</f>
        <v>1019.665937</v>
      </c>
      <c r="C96" s="99">
        <f>C97+C98+C99+C100</f>
        <v>1118.1469999999999</v>
      </c>
      <c r="D96" s="99">
        <f>Таблица22462791012131457454810[[#This Row],[Столбец2]]-Таблица22462791012131457454810[[#This Row],[Столбец3]]</f>
        <v>98.481062999999949</v>
      </c>
      <c r="E96" s="154">
        <f>Таблица22462791012131457454810[[#This Row],[Столбец2]]*100/Таблица22462791012131457454810[[#This Row],[Столбец3]]-100</f>
        <v>9.6581693500270376</v>
      </c>
      <c r="F96" s="154">
        <f>B96/$B$5*100</f>
        <v>0.70837190385216575</v>
      </c>
      <c r="G96" s="285">
        <f t="shared" si="4"/>
        <v>0.67331888116099115</v>
      </c>
      <c r="H96" s="205">
        <f>Таблица22462791012131457454810[[#This Row],[Столбец3]]*12.7%</f>
        <v>129.497573999</v>
      </c>
      <c r="I96" s="205"/>
      <c r="J96" s="225" t="e">
        <f>5498.2-#REF!</f>
        <v>#REF!</v>
      </c>
    </row>
    <row r="97" spans="1:10" s="133" customFormat="1" ht="21" x14ac:dyDescent="0.2">
      <c r="A97" s="279" t="s">
        <v>33</v>
      </c>
      <c r="B97" s="154">
        <v>195.23993300000001</v>
      </c>
      <c r="C97" s="99">
        <v>277.68900000000002</v>
      </c>
      <c r="D97" s="99">
        <f>Таблица22462791012131457454810[[#This Row],[Столбец2]]-Таблица22462791012131457454810[[#This Row],[Столбец3]]</f>
        <v>82.449067000000014</v>
      </c>
      <c r="E97" s="154">
        <f>Таблица22462791012131457454810[[#This Row],[Столбец2]]*100/Таблица22462791012131457454810[[#This Row],[Столбец3]]-100</f>
        <v>42.229612422577503</v>
      </c>
      <c r="F97" s="154">
        <f>B97/$B$5*100</f>
        <v>0.13563509187536907</v>
      </c>
      <c r="G97" s="285">
        <f t="shared" si="4"/>
        <v>0.16721705356336378</v>
      </c>
      <c r="H97" s="205">
        <f>Таблица22462791012131457454810[[#This Row],[Столбец3]]*12.7%</f>
        <v>24.795471491000001</v>
      </c>
      <c r="I97" s="205"/>
      <c r="J97" s="225" t="e">
        <f>5498.2-#REF!</f>
        <v>#REF!</v>
      </c>
    </row>
    <row r="98" spans="1:10" s="133" customFormat="1" ht="21" x14ac:dyDescent="0.2">
      <c r="A98" s="279" t="s">
        <v>34</v>
      </c>
      <c r="B98" s="154">
        <v>178.32400000000001</v>
      </c>
      <c r="C98" s="99">
        <v>181.74299999999999</v>
      </c>
      <c r="D98" s="99">
        <f>Таблица22462791012131457454810[[#This Row],[Столбец2]]-Таблица22462791012131457454810[[#This Row],[Столбец3]]</f>
        <v>3.4189999999999827</v>
      </c>
      <c r="E98" s="154">
        <f>Таблица22462791012131457454810[[#This Row],[Столбец2]]*100/Таблица22462791012131457454810[[#This Row],[Столбец3]]-100</f>
        <v>1.9172966061775014</v>
      </c>
      <c r="F98" s="154">
        <f>B98/$B$5*100</f>
        <v>0.12388342769807914</v>
      </c>
      <c r="G98" s="285">
        <f t="shared" si="4"/>
        <v>0.10944088158251286</v>
      </c>
      <c r="H98" s="205">
        <f>Таблица22462791012131457454810[[#This Row],[Столбец3]]*12.7%</f>
        <v>22.647148000000001</v>
      </c>
      <c r="I98" s="205"/>
      <c r="J98" s="225" t="e">
        <f>5498.2-#REF!</f>
        <v>#REF!</v>
      </c>
    </row>
    <row r="99" spans="1:10" s="133" customFormat="1" ht="21" hidden="1" customHeight="1" outlineLevel="1" x14ac:dyDescent="0.2">
      <c r="A99" s="279" t="s">
        <v>35</v>
      </c>
      <c r="B99" s="132">
        <v>644.97673099999997</v>
      </c>
      <c r="C99" s="96">
        <v>654.197</v>
      </c>
      <c r="D99" s="96">
        <f>Таблица22462791012131457454810[[#This Row],[Столбец2]]-Таблица22462791012131457454810[[#This Row],[Столбец3]]</f>
        <v>9.2202690000000302</v>
      </c>
      <c r="E99" s="132">
        <f>Таблица22462791012131457454810[[#This Row],[Столбец2]]*100/Таблица22462791012131457454810[[#This Row],[Столбец3]]-100</f>
        <v>1.4295506421920834</v>
      </c>
      <c r="F99" s="132">
        <f>B99/$B$5*100</f>
        <v>0.44807164611483546</v>
      </c>
      <c r="G99" s="280">
        <f t="shared" si="4"/>
        <v>0.39394032457170391</v>
      </c>
      <c r="H99" s="205">
        <f>Таблица22462791012131457454810[[#This Row],[Столбец3]]*12.7%</f>
        <v>81.912044836999996</v>
      </c>
      <c r="I99" s="205"/>
      <c r="J99" s="225" t="e">
        <f>5498.2-#REF!</f>
        <v>#REF!</v>
      </c>
    </row>
    <row r="100" spans="1:10" s="133" customFormat="1" ht="21" hidden="1" customHeight="1" outlineLevel="1" x14ac:dyDescent="0.2">
      <c r="A100" s="281" t="s">
        <v>102</v>
      </c>
      <c r="B100" s="199">
        <v>1.125273</v>
      </c>
      <c r="C100" s="96">
        <v>4.5179999999999998</v>
      </c>
      <c r="D100" s="96">
        <f>Таблица22462791012131457454810[[#This Row],[Столбец2]]-Таблица22462791012131457454810[[#This Row],[Столбец3]]</f>
        <v>3.3927269999999998</v>
      </c>
      <c r="E100" s="132">
        <f>Таблица22462791012131457454810[[#This Row],[Столбец2]]*100/Таблица22462791012131457454810[[#This Row],[Столбец3]]-100</f>
        <v>301.502568709993</v>
      </c>
      <c r="F100" s="132">
        <f>B100/$B$5*100</f>
        <v>7.8173816388203829E-4</v>
      </c>
      <c r="G100" s="280">
        <f t="shared" si="4"/>
        <v>2.7206214434107126E-3</v>
      </c>
      <c r="H100" s="228">
        <f>Таблица22462791012131457454810[[#This Row],[Столбец3]]*12.7%</f>
        <v>0.14290967099999999</v>
      </c>
      <c r="I100" s="225"/>
      <c r="J100" s="228" t="e">
        <f>5498.2-#REF!</f>
        <v>#REF!</v>
      </c>
    </row>
    <row r="101" spans="1:10" s="133" customFormat="1" ht="21" collapsed="1" x14ac:dyDescent="0.2">
      <c r="A101" s="283" t="s">
        <v>28</v>
      </c>
      <c r="B101" s="134">
        <v>706.173047</v>
      </c>
      <c r="C101" s="91">
        <v>675.86099999999999</v>
      </c>
      <c r="D101" s="91">
        <f>Таблица22462791012131457454810[[#This Row],[Столбец2]]-Таблица22462791012131457454810[[#This Row],[Столбец3]]</f>
        <v>-30.312047000000007</v>
      </c>
      <c r="E101" s="134">
        <f>Таблица22462791012131457454810[[#This Row],[Столбец2]]*100/Таблица22462791012131457454810[[#This Row],[Столбец3]]-100</f>
        <v>-4.2924389607863276</v>
      </c>
      <c r="F101" s="134">
        <f>B101/$B$5*100</f>
        <v>0.49058532564521173</v>
      </c>
      <c r="G101" s="276">
        <f t="shared" si="4"/>
        <v>0.40698581880588924</v>
      </c>
      <c r="H101" s="205">
        <f>Таблица22462791012131457454810[[#This Row],[Столбец3]]*12.7%</f>
        <v>89.683976969</v>
      </c>
      <c r="I101" s="205"/>
      <c r="J101" s="225" t="e">
        <f>5498.2-#REF!</f>
        <v>#REF!</v>
      </c>
    </row>
    <row r="102" spans="1:10" s="133" customFormat="1" ht="21" x14ac:dyDescent="0.2">
      <c r="A102" s="283" t="s">
        <v>29</v>
      </c>
      <c r="B102" s="134">
        <v>70.241659999999996</v>
      </c>
      <c r="C102" s="91">
        <v>77.742999999999995</v>
      </c>
      <c r="D102" s="91">
        <f>Таблица22462791012131457454810[[#This Row],[Столбец2]]-Таблица22462791012131457454810[[#This Row],[Столбец3]]</f>
        <v>7.501339999999999</v>
      </c>
      <c r="E102" s="134">
        <f>Таблица22462791012131457454810[[#This Row],[Столбец2]]*100/Таблица22462791012131457454810[[#This Row],[Столбец3]]-100</f>
        <v>10.679331895060557</v>
      </c>
      <c r="F102" s="134">
        <f>B102/$B$5*100</f>
        <v>4.8797568515752544E-2</v>
      </c>
      <c r="G102" s="276">
        <f t="shared" si="4"/>
        <v>4.6814801433173757E-2</v>
      </c>
      <c r="H102" s="205">
        <f>Таблица22462791012131457454810[[#This Row],[Столбец3]]*12.7%</f>
        <v>8.920690819999999</v>
      </c>
      <c r="I102" s="205"/>
      <c r="J102" s="225" t="e">
        <f>5498.2-#REF!</f>
        <v>#REF!</v>
      </c>
    </row>
    <row r="103" spans="1:10" s="133" customFormat="1" ht="21" x14ac:dyDescent="0.2">
      <c r="A103" s="291" t="s">
        <v>4</v>
      </c>
      <c r="B103" s="218">
        <f>SUM(B104,B109,B110)</f>
        <v>8123.0747130000009</v>
      </c>
      <c r="C103" s="218">
        <f>SUM(C104,C109,C110)</f>
        <v>8406.1369999999988</v>
      </c>
      <c r="D103" s="218">
        <f>Таблица22462791012131457454810[[#This Row],[Столбец2]]-Таблица22462791012131457454810[[#This Row],[Столбец3]]</f>
        <v>283.06228699999792</v>
      </c>
      <c r="E103" s="218">
        <f>Таблица22462791012131457454810[[#This Row],[Столбец2]]*100/Таблица22462791012131457454810[[#This Row],[Столбец3]]-100</f>
        <v>3.4846692539586144</v>
      </c>
      <c r="F103" s="218">
        <f>B103/$B$5*100</f>
        <v>5.6431794873041792</v>
      </c>
      <c r="G103" s="273">
        <f t="shared" si="4"/>
        <v>5.0619558606569708</v>
      </c>
      <c r="H103" s="205">
        <f>Таблица22462791012131457454810[[#This Row],[Столбец3]]*12.7%</f>
        <v>1031.6304885510001</v>
      </c>
      <c r="I103" s="205"/>
      <c r="J103" s="225" t="e">
        <f>5498.2-#REF!</f>
        <v>#REF!</v>
      </c>
    </row>
    <row r="104" spans="1:10" s="133" customFormat="1" ht="21" x14ac:dyDescent="0.2">
      <c r="A104" s="283" t="s">
        <v>27</v>
      </c>
      <c r="B104" s="154">
        <f>B105+B106+B107+B108</f>
        <v>2897.3151730000004</v>
      </c>
      <c r="C104" s="99">
        <f>C105+C106+C107+C108</f>
        <v>2903.3399999999997</v>
      </c>
      <c r="D104" s="99">
        <f>Таблица22462791012131457454810[[#This Row],[Столбец2]]-Таблица22462791012131457454810[[#This Row],[Столбец3]]</f>
        <v>6.0248269999992772</v>
      </c>
      <c r="E104" s="154">
        <f>Таблица22462791012131457454810[[#This Row],[Столбец2]]*100/Таблица22462791012131457454810[[#This Row],[Столбец3]]-100</f>
        <v>0.20794517131392354</v>
      </c>
      <c r="F104" s="154">
        <f>B104/$B$5*100</f>
        <v>2.0127932008753344</v>
      </c>
      <c r="G104" s="285">
        <f t="shared" si="4"/>
        <v>1.7483154186613674</v>
      </c>
      <c r="H104" s="205">
        <f>Таблица22462791012131457454810[[#This Row],[Столбец3]]*12.7%</f>
        <v>367.95902697100007</v>
      </c>
      <c r="I104" s="205"/>
      <c r="J104" s="225" t="e">
        <f>5498.2-#REF!</f>
        <v>#REF!</v>
      </c>
    </row>
    <row r="105" spans="1:10" s="133" customFormat="1" ht="21" x14ac:dyDescent="0.2">
      <c r="A105" s="279" t="s">
        <v>33</v>
      </c>
      <c r="B105" s="134">
        <v>10.904856000000001</v>
      </c>
      <c r="C105" s="91">
        <v>15.208</v>
      </c>
      <c r="D105" s="91">
        <f>Таблица22462791012131457454810[[#This Row],[Столбец2]]-Таблица22462791012131457454810[[#This Row],[Столбец3]]</f>
        <v>4.3031439999999996</v>
      </c>
      <c r="E105" s="134">
        <f>Таблица22462791012131457454810[[#This Row],[Столбец2]]*100/Таблица22462791012131457454810[[#This Row],[Столбец3]]-100</f>
        <v>39.460805351304032</v>
      </c>
      <c r="F105" s="134">
        <f>B105/$B$5*100</f>
        <v>7.5757101670777035E-3</v>
      </c>
      <c r="G105" s="276">
        <f t="shared" si="4"/>
        <v>9.1578598741456664E-3</v>
      </c>
      <c r="H105" s="205">
        <f>Таблица22462791012131457454810[[#This Row],[Столбец3]]*12.7%</f>
        <v>1.3849167120000001</v>
      </c>
      <c r="I105" s="205"/>
      <c r="J105" s="225" t="e">
        <f>5498.2-#REF!</f>
        <v>#REF!</v>
      </c>
    </row>
    <row r="106" spans="1:10" s="133" customFormat="1" ht="21" x14ac:dyDescent="0.2">
      <c r="A106" s="279" t="s">
        <v>34</v>
      </c>
      <c r="B106" s="154">
        <v>2880.4</v>
      </c>
      <c r="C106" s="99">
        <v>2881.7</v>
      </c>
      <c r="D106" s="99">
        <f>Таблица22462791012131457454810[[#This Row],[Столбец2]]-Таблица22462791012131457454810[[#This Row],[Столбец3]]</f>
        <v>1.2999999999997272</v>
      </c>
      <c r="E106" s="154">
        <f>Таблица22462791012131457454810[[#This Row],[Столбец2]]*100/Таблица22462791012131457454810[[#This Row],[Столбец3]]-100</f>
        <v>4.5132620469374274E-2</v>
      </c>
      <c r="F106" s="154">
        <f>B106/$B$5*100</f>
        <v>2.0010420646774811</v>
      </c>
      <c r="G106" s="285">
        <f t="shared" si="4"/>
        <v>1.7352843765995243</v>
      </c>
      <c r="H106" s="205">
        <f>Таблица22462791012131457454810[[#This Row],[Столбец3]]*12.7%</f>
        <v>365.81080000000003</v>
      </c>
      <c r="I106" s="205"/>
      <c r="J106" s="225" t="e">
        <f>5498.2-#REF!</f>
        <v>#REF!</v>
      </c>
    </row>
    <row r="107" spans="1:10" s="133" customFormat="1" ht="21" hidden="1" customHeight="1" outlineLevel="1" x14ac:dyDescent="0.2">
      <c r="A107" s="279" t="s">
        <v>35</v>
      </c>
      <c r="B107" s="132">
        <v>2.3173669999999995</v>
      </c>
      <c r="C107" s="96">
        <v>6.1829999999999998</v>
      </c>
      <c r="D107" s="96">
        <f>Таблица22462791012131457454810[[#This Row],[Столбец2]]-Таблица22462791012131457454810[[#This Row],[Столбец3]]</f>
        <v>3.8656330000000003</v>
      </c>
      <c r="E107" s="132">
        <f>Таблица22462791012131457454810[[#This Row],[Столбец2]]*100/Таблица22462791012131457454810[[#This Row],[Столбец3]]-100</f>
        <v>166.81142866019928</v>
      </c>
      <c r="F107" s="132">
        <f>B107/$B$5*100</f>
        <v>1.609897530306714E-3</v>
      </c>
      <c r="G107" s="280">
        <f t="shared" si="4"/>
        <v>3.7232408996477283E-3</v>
      </c>
      <c r="H107" s="205">
        <f>Таблица22462791012131457454810[[#This Row],[Столбец3]]*12.7%</f>
        <v>0.29430560899999997</v>
      </c>
      <c r="I107" s="205"/>
      <c r="J107" s="225" t="e">
        <f>5498.2-#REF!</f>
        <v>#REF!</v>
      </c>
    </row>
    <row r="108" spans="1:10" s="133" customFormat="1" ht="21" hidden="1" customHeight="1" outlineLevel="1" x14ac:dyDescent="0.2">
      <c r="A108" s="281" t="s">
        <v>102</v>
      </c>
      <c r="B108" s="132">
        <v>3.6929500000000002</v>
      </c>
      <c r="C108" s="96">
        <v>0.249</v>
      </c>
      <c r="D108" s="96">
        <f>Таблица22462791012131457454810[[#This Row],[Столбец2]]-Таблица22462791012131457454810[[#This Row],[Столбец3]]</f>
        <v>-3.4439500000000001</v>
      </c>
      <c r="E108" s="132">
        <f>Таблица22462791012131457454810[[#This Row],[Столбец2]]*100/Таблица22462791012131457454810[[#This Row],[Столбец3]]-100</f>
        <v>-93.257422927469904</v>
      </c>
      <c r="F108" s="132">
        <f>B107/$B$5*100</f>
        <v>1.609897530306714E-3</v>
      </c>
      <c r="G108" s="280">
        <f>C107/$C$5*100</f>
        <v>3.7232408996477283E-3</v>
      </c>
      <c r="H108" s="228">
        <f>Таблица22462791012131457454810[[#This Row],[Столбец3]]*12.7%</f>
        <v>0.46900465000000002</v>
      </c>
      <c r="I108" s="225"/>
      <c r="J108" s="228" t="e">
        <f>5498.2-#REF!</f>
        <v>#REF!</v>
      </c>
    </row>
    <row r="109" spans="1:10" s="133" customFormat="1" ht="21" collapsed="1" x14ac:dyDescent="0.2">
      <c r="A109" s="283" t="s">
        <v>28</v>
      </c>
      <c r="B109" s="134">
        <v>5221.6770699999997</v>
      </c>
      <c r="C109" s="91">
        <v>5498.2529999999997</v>
      </c>
      <c r="D109" s="91">
        <f>Таблица22462791012131457454810[[#This Row],[Столбец2]]-Таблица22462791012131457454810[[#This Row],[Столбец3]]</f>
        <v>276.57592999999997</v>
      </c>
      <c r="E109" s="134">
        <f>Таблица22462791012131457454810[[#This Row],[Столбец2]]*100/Таблица22462791012131457454810[[#This Row],[Столбец3]]-100</f>
        <v>5.2966877555298453</v>
      </c>
      <c r="F109" s="134">
        <f>B109/$B$5*100</f>
        <v>3.6275501545729267</v>
      </c>
      <c r="G109" s="276">
        <f t="shared" si="4"/>
        <v>3.3109041640321557</v>
      </c>
      <c r="H109" s="205">
        <f>Таблица22462791012131457454810[[#This Row],[Столбец3]]*12.7%</f>
        <v>663.15298788999996</v>
      </c>
      <c r="I109" s="205"/>
      <c r="J109" s="225" t="e">
        <f>5498.2-#REF!</f>
        <v>#REF!</v>
      </c>
    </row>
    <row r="110" spans="1:10" s="133" customFormat="1" ht="21" x14ac:dyDescent="0.2">
      <c r="A110" s="283" t="s">
        <v>29</v>
      </c>
      <c r="B110" s="154">
        <v>4.0824699999999998</v>
      </c>
      <c r="C110" s="99">
        <v>4.5439999999999996</v>
      </c>
      <c r="D110" s="99">
        <f>Таблица22462791012131457454810[[#This Row],[Столбец2]]-Таблица22462791012131457454810[[#This Row],[Столбец3]]</f>
        <v>0.46152999999999977</v>
      </c>
      <c r="E110" s="154">
        <f>Таблица22462791012131457454810[[#This Row],[Столбец2]]*100/Таблица22462791012131457454810[[#This Row],[Столбец3]]-100</f>
        <v>11.305165745247365</v>
      </c>
      <c r="F110" s="154">
        <f>B110/$B$5*100</f>
        <v>2.8361318559171904E-3</v>
      </c>
      <c r="G110" s="285">
        <f t="shared" si="4"/>
        <v>2.7362779634480471E-3</v>
      </c>
      <c r="H110" s="205">
        <f>Таблица22462791012131457454810[[#This Row],[Столбец3]]*12.7%</f>
        <v>0.51847368999999999</v>
      </c>
      <c r="I110" s="205"/>
      <c r="J110" s="225" t="e">
        <f>5498.2-#REF!</f>
        <v>#REF!</v>
      </c>
    </row>
    <row r="111" spans="1:10" s="133" customFormat="1" ht="21" x14ac:dyDescent="0.2">
      <c r="A111" s="291" t="s">
        <v>5</v>
      </c>
      <c r="B111" s="218">
        <f>SUM(B112,B117,B118)</f>
        <v>1424.8107479999999</v>
      </c>
      <c r="C111" s="218">
        <f>SUM(C112,C117,C118)</f>
        <v>1426.894</v>
      </c>
      <c r="D111" s="218">
        <f>Таблица22462791012131457454810[[#This Row],[Столбец2]]-Таблица22462791012131457454810[[#This Row],[Столбец3]]</f>
        <v>2.0832520000001296</v>
      </c>
      <c r="E111" s="218">
        <f>Таблица22462791012131457454810[[#This Row],[Столбец2]]*100/Таблица22462791012131457454810[[#This Row],[Столбец3]]-100</f>
        <v>0.14621254106373271</v>
      </c>
      <c r="F111" s="218">
        <f>B111/$B$5*100</f>
        <v>0.9898299683907047</v>
      </c>
      <c r="G111" s="273">
        <f t="shared" si="4"/>
        <v>0.85923825008279897</v>
      </c>
      <c r="H111" s="205">
        <f>Таблица22462791012131457454810[[#This Row],[Столбец3]]*12.7%</f>
        <v>180.95096499599998</v>
      </c>
      <c r="I111" s="205"/>
      <c r="J111" s="225" t="e">
        <f>5498.2-#REF!</f>
        <v>#REF!</v>
      </c>
    </row>
    <row r="112" spans="1:10" s="133" customFormat="1" ht="22.5" customHeight="1" x14ac:dyDescent="0.2">
      <c r="A112" s="283" t="s">
        <v>27</v>
      </c>
      <c r="B112" s="154">
        <f>B113+B114+B115+B116</f>
        <v>296.04549399999996</v>
      </c>
      <c r="C112" s="99">
        <f>C113+C114+C115+C116</f>
        <v>343.279</v>
      </c>
      <c r="D112" s="99">
        <f>Таблица22462791012131457454810[[#This Row],[Столбец2]]-Таблица22462791012131457454810[[#This Row],[Столбец3]]</f>
        <v>47.233506000000034</v>
      </c>
      <c r="E112" s="154">
        <f>Таблица22462791012131457454810[[#This Row],[Столбец2]]*100/Таблица22462791012131457454810[[#This Row],[Столбец3]]-100</f>
        <v>15.954813350410276</v>
      </c>
      <c r="F112" s="154">
        <f>B112/$B$5*100</f>
        <v>0.20566570148320534</v>
      </c>
      <c r="G112" s="285">
        <f t="shared" si="4"/>
        <v>0.20671363622677869</v>
      </c>
      <c r="H112" s="205">
        <f>Таблица22462791012131457454810[[#This Row],[Столбец3]]*12.7%</f>
        <v>37.597777737999998</v>
      </c>
      <c r="I112" s="205"/>
      <c r="J112" s="225" t="e">
        <f>5498.2-#REF!</f>
        <v>#REF!</v>
      </c>
    </row>
    <row r="113" spans="1:10" s="133" customFormat="1" ht="22.5" customHeight="1" x14ac:dyDescent="0.2">
      <c r="A113" s="279" t="s">
        <v>33</v>
      </c>
      <c r="B113" s="134">
        <v>85.483817000000002</v>
      </c>
      <c r="C113" s="91">
        <v>120.02</v>
      </c>
      <c r="D113" s="91">
        <f>Таблица22462791012131457454810[[#This Row],[Столбец2]]-Таблица22462791012131457454810[[#This Row],[Столбец3]]</f>
        <v>34.536182999999994</v>
      </c>
      <c r="E113" s="134">
        <f>Таблица22462791012131457454810[[#This Row],[Столбец2]]*100/Таблица22462791012131457454810[[#This Row],[Столбец3]]-100</f>
        <v>40.400843354947511</v>
      </c>
      <c r="F113" s="134">
        <f>B113/$B$5*100</f>
        <v>5.9386444127965544E-2</v>
      </c>
      <c r="G113" s="276">
        <f t="shared" si="4"/>
        <v>7.2272905187727693E-2</v>
      </c>
      <c r="H113" s="205">
        <f>Таблица22462791012131457454810[[#This Row],[Столбец3]]*12.7%</f>
        <v>10.856444759</v>
      </c>
      <c r="I113" s="205"/>
      <c r="J113" s="225" t="e">
        <f>5498.2-#REF!</f>
        <v>#REF!</v>
      </c>
    </row>
    <row r="114" spans="1:10" s="133" customFormat="1" ht="22.5" customHeight="1" x14ac:dyDescent="0.2">
      <c r="A114" s="279" t="s">
        <v>34</v>
      </c>
      <c r="B114" s="154">
        <v>40.084000000000003</v>
      </c>
      <c r="C114" s="99">
        <v>40.39</v>
      </c>
      <c r="D114" s="99">
        <f>Таблица22462791012131457454810[[#This Row],[Столбец2]]-Таблица22462791012131457454810[[#This Row],[Столбец3]]</f>
        <v>0.30599999999999739</v>
      </c>
      <c r="E114" s="154">
        <f>Таблица22462791012131457454810[[#This Row],[Столбец2]]*100/Таблица22462791012131457454810[[#This Row],[Столбец3]]-100</f>
        <v>0.76339686658018024</v>
      </c>
      <c r="F114" s="154">
        <f>B114/$B$5*100</f>
        <v>2.7846747021431795E-2</v>
      </c>
      <c r="G114" s="285">
        <f t="shared" si="4"/>
        <v>2.4321801704151991E-2</v>
      </c>
      <c r="H114" s="205">
        <f>Таблица22462791012131457454810[[#This Row],[Столбец3]]*12.7%</f>
        <v>5.0906680000000009</v>
      </c>
      <c r="I114" s="205"/>
      <c r="J114" s="225" t="e">
        <f>5498.2-#REF!</f>
        <v>#REF!</v>
      </c>
    </row>
    <row r="115" spans="1:10" s="133" customFormat="1" ht="21" hidden="1" customHeight="1" outlineLevel="1" x14ac:dyDescent="0.2">
      <c r="A115" s="279" t="s">
        <v>35</v>
      </c>
      <c r="B115" s="132">
        <v>128.422642</v>
      </c>
      <c r="C115" s="96">
        <v>138.65700000000001</v>
      </c>
      <c r="D115" s="96">
        <f>Таблица22462791012131457454810[[#This Row],[Столбец2]]-Таблица22462791012131457454810[[#This Row],[Столбец3]]</f>
        <v>10.234358000000014</v>
      </c>
      <c r="E115" s="132">
        <f>Таблица22462791012131457454810[[#This Row],[Столбец2]]*100/Таблица22462791012131457454810[[#This Row],[Столбец3]]-100</f>
        <v>7.9692785015277963</v>
      </c>
      <c r="F115" s="132">
        <f>B115/$B$5*100</f>
        <v>8.921646601132377E-2</v>
      </c>
      <c r="G115" s="280">
        <f t="shared" si="4"/>
        <v>8.3495619185258788E-2</v>
      </c>
      <c r="H115" s="205">
        <f>Таблица22462791012131457454810[[#This Row],[Столбец3]]*12.7%</f>
        <v>16.309675534</v>
      </c>
      <c r="I115" s="205"/>
      <c r="J115" s="225" t="e">
        <f>5498.2-#REF!</f>
        <v>#REF!</v>
      </c>
    </row>
    <row r="116" spans="1:10" s="133" customFormat="1" ht="21" hidden="1" customHeight="1" outlineLevel="1" x14ac:dyDescent="0.2">
      <c r="A116" s="281" t="s">
        <v>102</v>
      </c>
      <c r="B116" s="132">
        <v>42.055034999999997</v>
      </c>
      <c r="C116" s="96">
        <v>44.212000000000003</v>
      </c>
      <c r="D116" s="96">
        <f>Таблица22462791012131457454810[[#This Row],[Столбец2]]-Таблица22462791012131457454810[[#This Row],[Столбец3]]</f>
        <v>2.1569650000000067</v>
      </c>
      <c r="E116" s="132">
        <f>Таблица22462791012131457454810[[#This Row],[Столбец2]]*100/Таблица22462791012131457454810[[#This Row],[Столбец3]]-100</f>
        <v>5.1289102482021747</v>
      </c>
      <c r="F116" s="132">
        <f>B115/$B$5*100</f>
        <v>8.921646601132377E-2</v>
      </c>
      <c r="G116" s="280">
        <f>C115/$C$5*100</f>
        <v>8.3495619185258788E-2</v>
      </c>
      <c r="H116" s="228">
        <f>Таблица22462791012131457454810[[#This Row],[Столбец3]]*12.7%</f>
        <v>5.3409894449999999</v>
      </c>
      <c r="I116" s="225"/>
      <c r="J116" s="228" t="e">
        <f>5498.2-#REF!</f>
        <v>#REF!</v>
      </c>
    </row>
    <row r="117" spans="1:10" s="133" customFormat="1" ht="22.5" customHeight="1" collapsed="1" x14ac:dyDescent="0.2">
      <c r="A117" s="283" t="s">
        <v>28</v>
      </c>
      <c r="B117" s="134">
        <v>1091.4581539999999</v>
      </c>
      <c r="C117" s="91">
        <v>1052.9749999999999</v>
      </c>
      <c r="D117" s="91">
        <f>Таблица22462791012131457454810[[#This Row],[Столбец2]]-Таблица22462791012131457454810[[#This Row],[Столбец3]]</f>
        <v>-38.483154000000013</v>
      </c>
      <c r="E117" s="134">
        <f>Таблица22462791012131457454810[[#This Row],[Столбец2]]*100/Таблица22462791012131457454810[[#This Row],[Столбец3]]-100</f>
        <v>-3.5258478631513412</v>
      </c>
      <c r="F117" s="134">
        <f>B117/$B$5*100</f>
        <v>0.75824665948799885</v>
      </c>
      <c r="G117" s="276">
        <f t="shared" si="4"/>
        <v>0.6340740071658687</v>
      </c>
      <c r="H117" s="205">
        <f>Таблица22462791012131457454810[[#This Row],[Столбец3]]*12.7%</f>
        <v>138.61518555799998</v>
      </c>
      <c r="I117" s="205"/>
      <c r="J117" s="225" t="e">
        <f>5498.2-#REF!</f>
        <v>#REF!</v>
      </c>
    </row>
    <row r="118" spans="1:10" s="133" customFormat="1" ht="22.5" customHeight="1" x14ac:dyDescent="0.2">
      <c r="A118" s="283" t="s">
        <v>29</v>
      </c>
      <c r="B118" s="154">
        <v>37.307099999999998</v>
      </c>
      <c r="C118" s="99">
        <v>30.64</v>
      </c>
      <c r="D118" s="99">
        <f>Таблица22462791012131457454810[[#This Row],[Столбец2]]-Таблица22462791012131457454810[[#This Row],[Столбец3]]</f>
        <v>-6.6670999999999978</v>
      </c>
      <c r="E118" s="154">
        <f>Таблица22462791012131457454810[[#This Row],[Столбец2]]*100/Таблица22462791012131457454810[[#This Row],[Столбец3]]-100</f>
        <v>-17.870861042536134</v>
      </c>
      <c r="F118" s="154">
        <f>B118/$B$5*100</f>
        <v>2.5917607419500503E-2</v>
      </c>
      <c r="G118" s="285">
        <f t="shared" si="4"/>
        <v>1.8450606690151448E-2</v>
      </c>
      <c r="H118" s="205">
        <f>Таблица22462791012131457454810[[#This Row],[Столбец3]]*12.7%</f>
        <v>4.7380016999999999</v>
      </c>
      <c r="I118" s="205"/>
      <c r="J118" s="225" t="e">
        <f>5498.2-#REF!</f>
        <v>#REF!</v>
      </c>
    </row>
    <row r="119" spans="1:10" s="133" customFormat="1" ht="21" x14ac:dyDescent="0.2">
      <c r="A119" s="291" t="s">
        <v>6</v>
      </c>
      <c r="B119" s="218">
        <f>SUM(B120,B125)</f>
        <v>309.29236200000003</v>
      </c>
      <c r="C119" s="218">
        <f>SUM(C120,C125)</f>
        <v>337.13900000000001</v>
      </c>
      <c r="D119" s="218">
        <f>Таблица22462791012131457454810[[#This Row],[Столбец2]]-Таблица22462791012131457454810[[#This Row],[Столбец3]]</f>
        <v>27.846637999999984</v>
      </c>
      <c r="E119" s="218">
        <f>Таблица22462791012131457454810[[#This Row],[Столбец2]]*100/Таблица22462791012131457454810[[#This Row],[Столбец3]]-100</f>
        <v>9.0033384012243971</v>
      </c>
      <c r="F119" s="218">
        <f>B119/$B$5*100</f>
        <v>0.21486843030324082</v>
      </c>
      <c r="G119" s="273">
        <f t="shared" si="4"/>
        <v>0.2030162888025773</v>
      </c>
      <c r="H119" s="205">
        <f>Таблица22462791012131457454810[[#This Row],[Столбец3]]*12.7%</f>
        <v>39.280129974000005</v>
      </c>
      <c r="I119" s="205"/>
      <c r="J119" s="225" t="e">
        <f>5498.2-#REF!</f>
        <v>#REF!</v>
      </c>
    </row>
    <row r="120" spans="1:10" s="133" customFormat="1" ht="22.5" customHeight="1" x14ac:dyDescent="0.2">
      <c r="A120" s="283" t="s">
        <v>27</v>
      </c>
      <c r="B120" s="154">
        <f>B121+B122+B123+B124</f>
        <v>306.05804700000004</v>
      </c>
      <c r="C120" s="99">
        <f>C121+C122+C123+C124</f>
        <v>322.00799999999998</v>
      </c>
      <c r="D120" s="99">
        <f>Таблица22462791012131457454810[[#This Row],[Столбец2]]-Таблица22462791012131457454810[[#This Row],[Столбец3]]</f>
        <v>15.949952999999937</v>
      </c>
      <c r="E120" s="154">
        <f>Таблица22462791012131457454810[[#This Row],[Столбец2]]*100/Таблица22462791012131457454810[[#This Row],[Столбец3]]-100</f>
        <v>5.2114143563099731</v>
      </c>
      <c r="F120" s="154">
        <f>B120/$B$5*100</f>
        <v>0.21262152002500959</v>
      </c>
      <c r="G120" s="285">
        <f t="shared" si="4"/>
        <v>0.19390479631469604</v>
      </c>
      <c r="H120" s="205">
        <f>Таблица22462791012131457454810[[#This Row],[Столбец3]]*12.7%</f>
        <v>38.869371969000007</v>
      </c>
      <c r="I120" s="205"/>
      <c r="J120" s="225" t="e">
        <f>5498.2-#REF!</f>
        <v>#REF!</v>
      </c>
    </row>
    <row r="121" spans="1:10" s="133" customFormat="1" ht="22.5" customHeight="1" x14ac:dyDescent="0.2">
      <c r="A121" s="279" t="s">
        <v>33</v>
      </c>
      <c r="B121" s="134">
        <v>37.905479999999997</v>
      </c>
      <c r="C121" s="91">
        <v>53.198</v>
      </c>
      <c r="D121" s="91">
        <f>Таблица22462791012131457454810[[#This Row],[Столбец2]]-Таблица22462791012131457454810[[#This Row],[Столбец3]]</f>
        <v>15.292520000000003</v>
      </c>
      <c r="E121" s="134">
        <f>Таблица22462791012131457454810[[#This Row],[Столбец2]]*100/Таблица22462791012131457454810[[#This Row],[Столбец3]]-100</f>
        <v>40.343823637110006</v>
      </c>
      <c r="F121" s="134">
        <f>B121/$B$5*100</f>
        <v>2.6333307860641215E-2</v>
      </c>
      <c r="G121" s="276">
        <f t="shared" si="4"/>
        <v>3.2034444344082133E-2</v>
      </c>
      <c r="H121" s="205">
        <f>Таблица22462791012131457454810[[#This Row],[Столбец3]]*12.7%</f>
        <v>4.8139959599999997</v>
      </c>
      <c r="I121" s="205"/>
      <c r="J121" s="225" t="e">
        <f>5498.2-#REF!</f>
        <v>#REF!</v>
      </c>
    </row>
    <row r="122" spans="1:10" s="133" customFormat="1" ht="22.5" customHeight="1" x14ac:dyDescent="0.2">
      <c r="A122" s="279" t="s">
        <v>34</v>
      </c>
      <c r="B122" s="154">
        <v>142.49299999999999</v>
      </c>
      <c r="C122" s="99">
        <v>171.71299999999999</v>
      </c>
      <c r="D122" s="99">
        <f>Таблица22462791012131457454810[[#This Row],[Столбец2]]-Таблица22462791012131457454810[[#This Row],[Столбец3]]</f>
        <v>29.22</v>
      </c>
      <c r="E122" s="154">
        <f>Таблица22462791012131457454810[[#This Row],[Столбец2]]*100/Таблица22462791012131457454810[[#This Row],[Столбец3]]-100</f>
        <v>20.506270483462345</v>
      </c>
      <c r="F122" s="154">
        <f>B122/$B$5*100</f>
        <v>9.8991281392198399E-2</v>
      </c>
      <c r="G122" s="285">
        <f t="shared" si="4"/>
        <v>0.10340107789118717</v>
      </c>
      <c r="H122" s="205">
        <f>Таблица22462791012131457454810[[#This Row],[Столбец3]]*12.7%</f>
        <v>18.096610999999999</v>
      </c>
      <c r="I122" s="205"/>
      <c r="J122" s="225" t="e">
        <f>5498.2-#REF!</f>
        <v>#REF!</v>
      </c>
    </row>
    <row r="123" spans="1:10" s="133" customFormat="1" ht="21" hidden="1" customHeight="1" outlineLevel="1" x14ac:dyDescent="0.2">
      <c r="A123" s="279" t="s">
        <v>35</v>
      </c>
      <c r="B123" s="132">
        <v>125.421618</v>
      </c>
      <c r="C123" s="96">
        <v>92.947999999999993</v>
      </c>
      <c r="D123" s="96">
        <f>Таблица22462791012131457454810[[#This Row],[Столбец2]]-Таблица22462791012131457454810[[#This Row],[Столбец3]]</f>
        <v>-32.473618000000002</v>
      </c>
      <c r="E123" s="132">
        <f>Таблица22462791012131457454810[[#This Row],[Столбец2]]*100/Таблица22462791012131457454810[[#This Row],[Столбец3]]-100</f>
        <v>-25.891563605884912</v>
      </c>
      <c r="F123" s="132">
        <f>B123/$B$5*100</f>
        <v>8.7131625273541971E-2</v>
      </c>
      <c r="G123" s="280">
        <f t="shared" si="4"/>
        <v>5.5970854785776653E-2</v>
      </c>
      <c r="H123" s="205">
        <f>Таблица22462791012131457454810[[#This Row],[Столбец3]]*12.7%</f>
        <v>15.928545485999999</v>
      </c>
      <c r="I123" s="205"/>
      <c r="J123" s="225" t="e">
        <f>5498.2-#REF!</f>
        <v>#REF!</v>
      </c>
    </row>
    <row r="124" spans="1:10" s="133" customFormat="1" ht="21" hidden="1" customHeight="1" outlineLevel="1" x14ac:dyDescent="0.2">
      <c r="A124" s="281" t="s">
        <v>102</v>
      </c>
      <c r="B124" s="132">
        <v>0.23794899999999999</v>
      </c>
      <c r="C124" s="96">
        <v>4.149</v>
      </c>
      <c r="D124" s="96">
        <f>Таблица22462791012131457454810[[#This Row],[Столбец2]]-Таблица22462791012131457454810[[#This Row],[Столбец3]]</f>
        <v>3.9110510000000001</v>
      </c>
      <c r="E124" s="132">
        <f>Таблица22462791012131457454810[[#This Row],[Столбец2]]*100/Таблица22462791012131457454810[[#This Row],[Столбец3]]-100</f>
        <v>1643.6509504137441</v>
      </c>
      <c r="F124" s="132">
        <f>B123/$B$5*100</f>
        <v>8.7131625273541971E-2</v>
      </c>
      <c r="G124" s="280">
        <f>C123/$C$5*100</f>
        <v>5.5970854785776653E-2</v>
      </c>
      <c r="H124" s="228">
        <f>Таблица22462791012131457454810[[#This Row],[Столбец3]]*12.7%</f>
        <v>3.0219522999999998E-2</v>
      </c>
      <c r="I124" s="225"/>
      <c r="J124" s="228" t="e">
        <f>5498.2-#REF!</f>
        <v>#REF!</v>
      </c>
    </row>
    <row r="125" spans="1:10" s="133" customFormat="1" ht="22.5" customHeight="1" collapsed="1" x14ac:dyDescent="0.2">
      <c r="A125" s="283" t="s">
        <v>29</v>
      </c>
      <c r="B125" s="134">
        <v>3.2343150000000001</v>
      </c>
      <c r="C125" s="91">
        <v>15.131</v>
      </c>
      <c r="D125" s="91">
        <f>Таблица22462791012131457454810[[#This Row],[Столбец2]]-Таблица22462791012131457454810[[#This Row],[Столбец3]]</f>
        <v>11.896685</v>
      </c>
      <c r="E125" s="134">
        <f>Таблица22462791012131457454810[[#This Row],[Столбец2]]*100/Таблица22462791012131457454810[[#This Row],[Столбец3]]-100</f>
        <v>367.82703601844594</v>
      </c>
      <c r="F125" s="134">
        <f>B125/$B$5*100</f>
        <v>2.2469102782312687E-3</v>
      </c>
      <c r="G125" s="276">
        <f t="shared" si="4"/>
        <v>9.1114924878812516E-3</v>
      </c>
      <c r="H125" s="205">
        <f>Таблица22462791012131457454810[[#This Row],[Столбец3]]*12.7%</f>
        <v>0.41075800500000004</v>
      </c>
      <c r="I125" s="205"/>
      <c r="J125" s="225" t="e">
        <f>5498.2-#REF!</f>
        <v>#REF!</v>
      </c>
    </row>
    <row r="126" spans="1:10" s="133" customFormat="1" ht="34.5" customHeight="1" x14ac:dyDescent="0.2">
      <c r="A126" s="291" t="s">
        <v>14</v>
      </c>
      <c r="B126" s="218">
        <f>SUM(B127,B132,B133)</f>
        <v>3530.6112999999996</v>
      </c>
      <c r="C126" s="218">
        <f>SUM(C127,C132,C133)</f>
        <v>2993.8829999999998</v>
      </c>
      <c r="D126" s="218">
        <f>Таблица22462791012131457454810[[#This Row],[Столбец2]]-Таблица22462791012131457454810[[#This Row],[Столбец3]]</f>
        <v>-536.72829999999976</v>
      </c>
      <c r="E126" s="218">
        <f>Таблица22462791012131457454810[[#This Row],[Столбец2]]*100/Таблица22462791012131457454810[[#This Row],[Столбец3]]-100</f>
        <v>-15.202135109010712</v>
      </c>
      <c r="F126" s="218">
        <f>B126/$B$5*100</f>
        <v>2.4527502170968076</v>
      </c>
      <c r="G126" s="273">
        <f t="shared" si="4"/>
        <v>1.8028380453436905</v>
      </c>
      <c r="H126" s="205">
        <f>Таблица22462791012131457454810[[#This Row],[Столбец3]]*12.7%</f>
        <v>448.38763509999995</v>
      </c>
      <c r="I126" s="205"/>
      <c r="J126" s="225" t="e">
        <f>5498.2-#REF!</f>
        <v>#REF!</v>
      </c>
    </row>
    <row r="127" spans="1:10" s="133" customFormat="1" ht="21" x14ac:dyDescent="0.2">
      <c r="A127" s="283" t="s">
        <v>27</v>
      </c>
      <c r="B127" s="154">
        <f>B128+B129+B130+B131</f>
        <v>759.19419999999991</v>
      </c>
      <c r="C127" s="99">
        <f>C128+C129+C130+C131</f>
        <v>847.37299999999993</v>
      </c>
      <c r="D127" s="99">
        <f>Таблица22462791012131457454810[[#This Row],[Столбец2]]-Таблица22462791012131457454810[[#This Row],[Столбец3]]</f>
        <v>88.178800000000024</v>
      </c>
      <c r="E127" s="154">
        <f>Таблица22462791012131457454810[[#This Row],[Столбец2]]*100/Таблица22462791012131457454810[[#This Row],[Столбец3]]-100</f>
        <v>11.614788416455241</v>
      </c>
      <c r="F127" s="154">
        <f>B127/$B$5*100</f>
        <v>0.52741963944562154</v>
      </c>
      <c r="G127" s="285">
        <f t="shared" si="4"/>
        <v>0.51026585975371086</v>
      </c>
      <c r="H127" s="205">
        <f>Таблица22462791012131457454810[[#This Row],[Столбец3]]*12.7%</f>
        <v>96.417663399999995</v>
      </c>
      <c r="I127" s="205"/>
      <c r="J127" s="225" t="e">
        <f>5498.2-#REF!</f>
        <v>#REF!</v>
      </c>
    </row>
    <row r="128" spans="1:10" s="133" customFormat="1" ht="21" x14ac:dyDescent="0.2">
      <c r="A128" s="279" t="s">
        <v>33</v>
      </c>
      <c r="B128" s="134">
        <v>47.975667999999999</v>
      </c>
      <c r="C128" s="91">
        <v>68.891999999999996</v>
      </c>
      <c r="D128" s="91">
        <f>Таблица22462791012131457454810[[#This Row],[Столбец2]]-Таблица22462791012131457454810[[#This Row],[Столбец3]]</f>
        <v>20.916331999999997</v>
      </c>
      <c r="E128" s="134">
        <f>Таблица22462791012131457454810[[#This Row],[Столбец2]]*100/Таблица22462791012131457454810[[#This Row],[Столбец3]]-100</f>
        <v>43.597792114119187</v>
      </c>
      <c r="F128" s="134">
        <f>B128/$B$5*100</f>
        <v>3.3329166000903118E-2</v>
      </c>
      <c r="G128" s="276">
        <f t="shared" si="4"/>
        <v>4.1484960708156444E-2</v>
      </c>
      <c r="H128" s="205">
        <f>Таблица22462791012131457454810[[#This Row],[Столбец3]]*12.7%</f>
        <v>6.0929098359999996</v>
      </c>
      <c r="I128" s="205"/>
      <c r="J128" s="225" t="e">
        <f>5498.2-#REF!</f>
        <v>#REF!</v>
      </c>
    </row>
    <row r="129" spans="1:10" s="133" customFormat="1" ht="21" x14ac:dyDescent="0.2">
      <c r="A129" s="279" t="s">
        <v>34</v>
      </c>
      <c r="B129" s="134">
        <v>298.5</v>
      </c>
      <c r="C129" s="91">
        <v>311.21899999999999</v>
      </c>
      <c r="D129" s="91">
        <f>Таблица22462791012131457454810[[#This Row],[Столбец2]]-Таблица22462791012131457454810[[#This Row],[Столбец3]]</f>
        <v>12.718999999999994</v>
      </c>
      <c r="E129" s="134">
        <f>Таблица22462791012131457454810[[#This Row],[Столбец2]]*100/Таблица22462791012131457454810[[#This Row],[Столбец3]]-100</f>
        <v>4.2609715242880952</v>
      </c>
      <c r="F129" s="134">
        <f>B129/$B$5*100</f>
        <v>0.20737087081871547</v>
      </c>
      <c r="G129" s="276">
        <f t="shared" si="4"/>
        <v>0.18740794267304972</v>
      </c>
      <c r="H129" s="205">
        <f>Таблица22462791012131457454810[[#This Row],[Столбец3]]*12.7%</f>
        <v>37.909500000000001</v>
      </c>
      <c r="I129" s="205"/>
      <c r="J129" s="225" t="e">
        <f>5498.2-#REF!</f>
        <v>#REF!</v>
      </c>
    </row>
    <row r="130" spans="1:10" s="133" customFormat="1" ht="21" hidden="1" customHeight="1" outlineLevel="1" x14ac:dyDescent="0.2">
      <c r="A130" s="279" t="s">
        <v>35</v>
      </c>
      <c r="B130" s="132">
        <v>408.881575</v>
      </c>
      <c r="C130" s="96">
        <v>460.928</v>
      </c>
      <c r="D130" s="96">
        <f>Таблица22462791012131457454810[[#This Row],[Столбец2]]-Таблица22462791012131457454810[[#This Row],[Столбец3]]</f>
        <v>52.046424999999999</v>
      </c>
      <c r="E130" s="132">
        <f>Таблица22462791012131457454810[[#This Row],[Столбец2]]*100/Таблица22462791012131457454810[[#This Row],[Столбец3]]-100</f>
        <v>12.728972930609558</v>
      </c>
      <c r="F130" s="132">
        <f>B130/$B$5*100</f>
        <v>0.28405403105352739</v>
      </c>
      <c r="G130" s="280">
        <f t="shared" si="4"/>
        <v>0.27755878722187094</v>
      </c>
      <c r="H130" s="205">
        <f>Таблица22462791012131457454810[[#This Row],[Столбец3]]*12.7%</f>
        <v>51.927960024999997</v>
      </c>
      <c r="I130" s="205"/>
      <c r="J130" s="225" t="e">
        <f>5498.2-#REF!</f>
        <v>#REF!</v>
      </c>
    </row>
    <row r="131" spans="1:10" s="133" customFormat="1" ht="21" hidden="1" customHeight="1" outlineLevel="1" x14ac:dyDescent="0.2">
      <c r="A131" s="281" t="s">
        <v>102</v>
      </c>
      <c r="B131" s="199">
        <v>3.836957</v>
      </c>
      <c r="C131" s="96">
        <v>6.3339999999999996</v>
      </c>
      <c r="D131" s="96">
        <f>Таблица22462791012131457454810[[#This Row],[Столбец2]]-Таблица22462791012131457454810[[#This Row],[Столбец3]]</f>
        <v>2.4970429999999997</v>
      </c>
      <c r="E131" s="132">
        <f>Таблица22462791012131457454810[[#This Row],[Столбец2]]*100/Таблица22462791012131457454810[[#This Row],[Столбец3]]-100</f>
        <v>65.078732964690516</v>
      </c>
      <c r="F131" s="132">
        <f>B131/$B$5*100</f>
        <v>2.6655715724755984E-3</v>
      </c>
      <c r="G131" s="280">
        <f t="shared" si="4"/>
        <v>3.8141691506337876E-3</v>
      </c>
      <c r="H131" s="228">
        <f>Таблица22462791012131457454810[[#This Row],[Столбец3]]*12.7%</f>
        <v>0.487293539</v>
      </c>
      <c r="I131" s="225"/>
      <c r="J131" s="228" t="e">
        <f>5498.2-#REF!</f>
        <v>#REF!</v>
      </c>
    </row>
    <row r="132" spans="1:10" s="133" customFormat="1" ht="21" collapsed="1" x14ac:dyDescent="0.2">
      <c r="A132" s="283" t="s">
        <v>28</v>
      </c>
      <c r="B132" s="134">
        <v>2738.9164449999998</v>
      </c>
      <c r="C132" s="91">
        <v>2113.1129999999998</v>
      </c>
      <c r="D132" s="91">
        <f>Таблица22462791012131457454810[[#This Row],[Столбец2]]-Таблица22462791012131457454810[[#This Row],[Столбец3]]</f>
        <v>-625.80344500000001</v>
      </c>
      <c r="E132" s="134">
        <f>Таблица22462791012131457454810[[#This Row],[Столбец2]]*100/Таблица22462791012131457454810[[#This Row],[Столбец3]]-100</f>
        <v>-22.848577441726235</v>
      </c>
      <c r="F132" s="134">
        <f>B132/$B$5*100</f>
        <v>1.9027520546041892</v>
      </c>
      <c r="G132" s="276">
        <f t="shared" si="4"/>
        <v>1.272461385602023</v>
      </c>
      <c r="H132" s="205">
        <f>Таблица22462791012131457454810[[#This Row],[Столбец3]]*12.7%</f>
        <v>347.84238851499998</v>
      </c>
      <c r="I132" s="205"/>
      <c r="J132" s="225" t="e">
        <f>5498.2-#REF!</f>
        <v>#REF!</v>
      </c>
    </row>
    <row r="133" spans="1:10" s="213" customFormat="1" ht="21" x14ac:dyDescent="0.2">
      <c r="A133" s="283" t="s">
        <v>29</v>
      </c>
      <c r="B133" s="134">
        <v>32.500655000000002</v>
      </c>
      <c r="C133" s="91">
        <v>33.396999999999998</v>
      </c>
      <c r="D133" s="91">
        <f>Таблица22462791012131457454810[[#This Row],[Столбец2]]-Таблица22462791012131457454810[[#This Row],[Столбец3]]</f>
        <v>0.89634499999999662</v>
      </c>
      <c r="E133" s="134">
        <f>Таблица22462791012131457454810[[#This Row],[Столбец2]]*100/Таблица22462791012131457454810[[#This Row],[Столбец3]]-100</f>
        <v>2.7579290325071781</v>
      </c>
      <c r="F133" s="134">
        <f>B133/$B$5*100</f>
        <v>2.2578523046997118E-2</v>
      </c>
      <c r="G133" s="276">
        <f t="shared" si="4"/>
        <v>2.0110799987956521E-2</v>
      </c>
      <c r="H133" s="205">
        <f>Таблица22462791012131457454810[[#This Row],[Столбец3]]*12.7%</f>
        <v>4.1275831850000007</v>
      </c>
      <c r="I133" s="205"/>
      <c r="J133" s="225" t="e">
        <f>5498.2-#REF!</f>
        <v>#REF!</v>
      </c>
    </row>
    <row r="134" spans="1:10" ht="55.5" customHeight="1" x14ac:dyDescent="0.2">
      <c r="A134" s="291" t="s">
        <v>7</v>
      </c>
      <c r="B134" s="218">
        <f>SUM(B135,B139)</f>
        <v>138.527041</v>
      </c>
      <c r="C134" s="218">
        <f>SUM(C135,C139)</f>
        <v>140.541</v>
      </c>
      <c r="D134" s="218">
        <f>Таблица22462791012131457454810[[#This Row],[Столбец2]]-Таблица22462791012131457454810[[#This Row],[Столбец3]]</f>
        <v>2.0139589999999998</v>
      </c>
      <c r="E134" s="218">
        <f>Таблица22462791012131457454810[[#This Row],[Столбец2]]*100/Таблица22462791012131457454810[[#This Row],[Столбец3]]-100</f>
        <v>1.4538381715668152</v>
      </c>
      <c r="F134" s="218">
        <f>B134/$B$5*100</f>
        <v>9.6236090868039872E-2</v>
      </c>
      <c r="G134" s="273">
        <f t="shared" si="4"/>
        <v>8.4630114714117965E-2</v>
      </c>
      <c r="H134" s="205">
        <f>Таблица22462791012131457454810[[#This Row],[Столбец3]]*12.7%</f>
        <v>17.592934206999999</v>
      </c>
      <c r="I134" s="205"/>
      <c r="J134" s="225" t="e">
        <f>5498.2-#REF!</f>
        <v>#REF!</v>
      </c>
    </row>
    <row r="135" spans="1:10" ht="21" x14ac:dyDescent="0.2">
      <c r="A135" s="283" t="s">
        <v>27</v>
      </c>
      <c r="B135" s="154">
        <f>B136+B137</f>
        <v>135.497401</v>
      </c>
      <c r="C135" s="99">
        <f>C136+C137+C138</f>
        <v>137.01599999999999</v>
      </c>
      <c r="D135" s="99">
        <f>Таблица22462791012131457454810[[#This Row],[Столбец2]]-Таблица22462791012131457454810[[#This Row],[Столбец3]]</f>
        <v>1.5185989999999947</v>
      </c>
      <c r="E135" s="154">
        <f>Таблица22462791012131457454810[[#This Row],[Столбец2]]*100/Таблица22462791012131457454810[[#This Row],[Столбец3]]-100</f>
        <v>1.1207587664356709</v>
      </c>
      <c r="F135" s="154">
        <f>B135/$B$5*100</f>
        <v>9.4131370315050894E-2</v>
      </c>
      <c r="G135" s="285">
        <f t="shared" si="4"/>
        <v>8.2507451901363923E-2</v>
      </c>
      <c r="H135" s="211">
        <f>Таблица22462791012131457454810[[#This Row],[Столбец3]]*12.7%</f>
        <v>17.208169927</v>
      </c>
      <c r="I135" s="205"/>
      <c r="J135" s="225" t="e">
        <f>5498.2-#REF!</f>
        <v>#REF!</v>
      </c>
    </row>
    <row r="136" spans="1:10" ht="21" x14ac:dyDescent="0.2">
      <c r="A136" s="279" t="s">
        <v>33</v>
      </c>
      <c r="B136" s="154">
        <v>15.71233</v>
      </c>
      <c r="C136" s="99">
        <v>23.344000000000001</v>
      </c>
      <c r="D136" s="99">
        <f>Таблица22462791012131457454810[[#This Row],[Столбец2]]-Таблица22462791012131457454810[[#This Row],[Столбец3]]</f>
        <v>7.6316700000000015</v>
      </c>
      <c r="E136" s="154">
        <f>Таблица22462791012131457454810[[#This Row],[Столбец2]]*100/Таблица22462791012131457454810[[#This Row],[Столбец3]]-100</f>
        <v>48.571217636085805</v>
      </c>
      <c r="F136" s="154">
        <f>B136/$B$5*100</f>
        <v>1.0915509395949843E-2</v>
      </c>
      <c r="G136" s="285">
        <f t="shared" si="4"/>
        <v>1.4057146298136272E-2</v>
      </c>
      <c r="H136" s="205">
        <f>Таблица22462791012131457454810[[#This Row],[Столбец3]]*12.7%</f>
        <v>1.9954659100000001</v>
      </c>
      <c r="I136" s="205"/>
      <c r="J136" s="225" t="e">
        <f>5498.2-#REF!</f>
        <v>#REF!</v>
      </c>
    </row>
    <row r="137" spans="1:10" ht="21" hidden="1" customHeight="1" outlineLevel="1" x14ac:dyDescent="0.2">
      <c r="A137" s="279" t="s">
        <v>35</v>
      </c>
      <c r="B137" s="155">
        <v>119.785071</v>
      </c>
      <c r="C137" s="93">
        <v>101.82599999999999</v>
      </c>
      <c r="D137" s="93">
        <f>Таблица22462791012131457454810[[#This Row],[Столбец2]]-Таблица22462791012131457454810[[#This Row],[Столбец3]]</f>
        <v>-17.959071000000009</v>
      </c>
      <c r="E137" s="155">
        <f>Таблица22462791012131457454810[[#This Row],[Столбец2]]*100/Таблица22462791012131457454810[[#This Row],[Столбец3]]-100</f>
        <v>-14.992745631882642</v>
      </c>
      <c r="F137" s="155">
        <f>B137/$B$5*100</f>
        <v>8.3215860919101048E-2</v>
      </c>
      <c r="G137" s="286">
        <f t="shared" si="4"/>
        <v>6.1316954204678885E-2</v>
      </c>
      <c r="H137" s="205">
        <f>Таблица22462791012131457454810[[#This Row],[Столбец3]]*12.7%</f>
        <v>15.212704017</v>
      </c>
      <c r="I137" s="205"/>
      <c r="J137" s="225" t="e">
        <f>5498.2-#REF!</f>
        <v>#REF!</v>
      </c>
    </row>
    <row r="138" spans="1:10" ht="21" hidden="1" customHeight="1" outlineLevel="1" x14ac:dyDescent="0.2">
      <c r="A138" s="281" t="s">
        <v>102</v>
      </c>
      <c r="B138" s="155"/>
      <c r="C138" s="93">
        <v>11.846</v>
      </c>
      <c r="D138" s="93"/>
      <c r="E138" s="155"/>
      <c r="F138" s="155"/>
      <c r="G138" s="286"/>
      <c r="H138" s="228">
        <f>Таблица22462791012131457454810[[#This Row],[Столбец3]]*12.7%</f>
        <v>0</v>
      </c>
      <c r="I138" s="225"/>
      <c r="J138" s="228" t="e">
        <f>5498.2-#REF!</f>
        <v>#REF!</v>
      </c>
    </row>
    <row r="139" spans="1:10" ht="21" collapsed="1" x14ac:dyDescent="0.2">
      <c r="A139" s="283" t="s">
        <v>29</v>
      </c>
      <c r="B139" s="134">
        <v>3.0296400000000001</v>
      </c>
      <c r="C139" s="91">
        <v>3.5249999999999999</v>
      </c>
      <c r="D139" s="91">
        <f>Таблица22462791012131457454810[[#This Row],[Столбец2]]-Таблица22462791012131457454810[[#This Row],[Столбец3]]</f>
        <v>0.4953599999999998</v>
      </c>
      <c r="E139" s="134">
        <f>Таблица22462791012131457454810[[#This Row],[Столбец2]]*100/Таблица22462791012131457454810[[#This Row],[Столбец3]]-100</f>
        <v>16.350457480096637</v>
      </c>
      <c r="F139" s="134">
        <f>B139/$B$5*100</f>
        <v>2.1047205529889888E-3</v>
      </c>
      <c r="G139" s="276">
        <f>C139/$C$5*100</f>
        <v>2.122662812754042E-3</v>
      </c>
      <c r="H139" s="205">
        <f>Таблица22462791012131457454810[[#This Row],[Столбец3]]*12.7%</f>
        <v>0.38476428000000001</v>
      </c>
      <c r="I139" s="205"/>
      <c r="J139" s="225" t="e">
        <f>5498.2-#REF!</f>
        <v>#REF!</v>
      </c>
    </row>
    <row r="140" spans="1:10" ht="21" x14ac:dyDescent="0.2">
      <c r="A140" s="291" t="s">
        <v>43</v>
      </c>
      <c r="B140" s="218">
        <f>B141</f>
        <v>4240.6018170000007</v>
      </c>
      <c r="C140" s="218">
        <f>C141</f>
        <v>5565.5320000000002</v>
      </c>
      <c r="D140" s="218">
        <f>Таблица22462791012131457454810[[#This Row],[Столбец2]]-Таблица22462791012131457454810[[#This Row],[Столбец3]]</f>
        <v>1324.9301829999995</v>
      </c>
      <c r="E140" s="218">
        <f>Таблица22462791012131457454810[[#This Row],[Столбец2]]*100/Таблица22462791012131457454810[[#This Row],[Столбец3]]-100</f>
        <v>31.243918674196976</v>
      </c>
      <c r="F140" s="218">
        <f>B140/$B$5*100</f>
        <v>2.9459875765049155</v>
      </c>
      <c r="G140" s="273">
        <f t="shared" si="4"/>
        <v>3.3514178183241503</v>
      </c>
      <c r="H140" s="205">
        <f>Таблица22462791012131457454810[[#This Row],[Столбец3]]*12.7%</f>
        <v>538.55643075900014</v>
      </c>
      <c r="I140" s="205"/>
      <c r="J140" s="225" t="e">
        <f>5498.2-#REF!</f>
        <v>#REF!</v>
      </c>
    </row>
    <row r="141" spans="1:10" ht="22.5" customHeight="1" x14ac:dyDescent="0.2">
      <c r="A141" s="283" t="s">
        <v>94</v>
      </c>
      <c r="B141" s="134">
        <f>3860.601817+380</f>
        <v>4240.6018170000007</v>
      </c>
      <c r="C141" s="91">
        <v>5565.5320000000002</v>
      </c>
      <c r="D141" s="91">
        <f>Таблица22462791012131457454810[[#This Row],[Столбец2]]-Таблица22462791012131457454810[[#This Row],[Столбец3]]</f>
        <v>1324.9301829999995</v>
      </c>
      <c r="E141" s="134">
        <f>Таблица22462791012131457454810[[#This Row],[Столбец2]]*100/Таблица22462791012131457454810[[#This Row],[Столбец3]]-100</f>
        <v>31.243918674196976</v>
      </c>
      <c r="F141" s="134">
        <f>B141/$B$5*100</f>
        <v>2.9459875765049155</v>
      </c>
      <c r="G141" s="276">
        <f t="shared" si="4"/>
        <v>3.3514178183241503</v>
      </c>
      <c r="H141" s="205">
        <f>Таблица22462791012131457454810[[#This Row],[Столбец3]]*12.7%</f>
        <v>538.55643075900014</v>
      </c>
      <c r="I141" s="205"/>
      <c r="J141" s="225" t="e">
        <f>5498.2-#REF!</f>
        <v>#REF!</v>
      </c>
    </row>
    <row r="142" spans="1:10" ht="21" hidden="1" x14ac:dyDescent="0.2">
      <c r="A142" s="275" t="s">
        <v>44</v>
      </c>
      <c r="B142" s="134">
        <v>380</v>
      </c>
      <c r="C142" s="91">
        <v>37.200000000000003</v>
      </c>
      <c r="D142" s="91">
        <f>Таблица22462791012131457454810[[#This Row],[Столбец2]]-Таблица22462791012131457454810[[#This Row],[Столбец3]]</f>
        <v>-342.8</v>
      </c>
      <c r="E142" s="134">
        <f>Таблица22462791012131457454810[[#This Row],[Столбец2]]*100/Таблица22462791012131457454810[[#This Row],[Столбец3]]-100</f>
        <v>-90.21052631578948</v>
      </c>
      <c r="F142" s="134">
        <f>B142/$B$5*100</f>
        <v>0.2639897182951822</v>
      </c>
      <c r="G142" s="276">
        <f t="shared" si="4"/>
        <v>2.2400867130340531E-2</v>
      </c>
      <c r="H142" s="205">
        <f>Таблица22462791012131457454810[[#This Row],[Столбец3]]*12.7%</f>
        <v>48.26</v>
      </c>
      <c r="I142" s="205"/>
      <c r="J142" s="225" t="e">
        <f>5498.2-#REF!</f>
        <v>#REF!</v>
      </c>
    </row>
    <row r="143" spans="1:10" ht="19.5" customHeight="1" x14ac:dyDescent="0.2">
      <c r="A143" s="287" t="s">
        <v>38</v>
      </c>
      <c r="B143" s="132">
        <f>1271.9+200</f>
        <v>1471.9</v>
      </c>
      <c r="C143" s="96">
        <f>1016.825+1988.216</f>
        <v>3005.0410000000002</v>
      </c>
      <c r="D143" s="96">
        <f>Таблица22462791012131457454810[[#This Row],[Столбец2]]-Таблица22462791012131457454810[[#This Row],[Столбец3]]</f>
        <v>1533.1410000000001</v>
      </c>
      <c r="E143" s="132">
        <f>Таблица22462791012131457454810[[#This Row],[Столбец2]]*100/Таблица22462791012131457454810[[#This Row],[Столбец3]]-100</f>
        <v>104.16067667640465</v>
      </c>
      <c r="F143" s="132">
        <f>B143/$B$5*100</f>
        <v>1.0225433325228386</v>
      </c>
      <c r="G143" s="280">
        <f t="shared" si="4"/>
        <v>1.8095571011350977</v>
      </c>
      <c r="H143" s="205">
        <f>Таблица22462791012131457454810[[#This Row],[Столбец3]]*12.7%</f>
        <v>186.93130000000002</v>
      </c>
      <c r="I143" s="205"/>
      <c r="J143" s="225" t="e">
        <f>5498.2-#REF!</f>
        <v>#REF!</v>
      </c>
    </row>
    <row r="144" spans="1:10" ht="19.5" customHeight="1" x14ac:dyDescent="0.2">
      <c r="A144" s="287" t="s">
        <v>39</v>
      </c>
      <c r="B144" s="132">
        <v>106</v>
      </c>
      <c r="C144" s="96">
        <v>106</v>
      </c>
      <c r="D144" s="96">
        <f>Таблица22462791012131457454810[[#This Row],[Столбец2]]-Таблица22462791012131457454810[[#This Row],[Столбец3]]</f>
        <v>0</v>
      </c>
      <c r="E144" s="132">
        <f>Таблица22462791012131457454810[[#This Row],[Столбец2]]*100/Таблица22462791012131457454810[[#This Row],[Столбец3]]-100</f>
        <v>0</v>
      </c>
      <c r="F144" s="132">
        <f>B144/$B$5*100</f>
        <v>7.3639237208656089E-2</v>
      </c>
      <c r="G144" s="280">
        <f t="shared" si="4"/>
        <v>6.3830427844518714E-2</v>
      </c>
      <c r="H144" s="205">
        <f>Таблица22462791012131457454810[[#This Row],[Столбец3]]*12.7%</f>
        <v>13.462</v>
      </c>
      <c r="I144" s="205"/>
      <c r="J144" s="225" t="e">
        <f>5498.2-#REF!</f>
        <v>#REF!</v>
      </c>
    </row>
    <row r="145" spans="1:10" ht="21" x14ac:dyDescent="0.2">
      <c r="A145" s="287" t="s">
        <v>8</v>
      </c>
      <c r="B145" s="132">
        <f>B146+B147</f>
        <v>1109.8823639999998</v>
      </c>
      <c r="C145" s="96">
        <f>C146+C147</f>
        <v>1044.5939699999999</v>
      </c>
      <c r="D145" s="96">
        <f>Таблица22462791012131457454810[[#This Row],[Столбец2]]-Таблица22462791012131457454810[[#This Row],[Столбец3]]</f>
        <v>-65.288393999999926</v>
      </c>
      <c r="E145" s="132">
        <f>Таблица22462791012131457454810[[#This Row],[Столбец2]]*100/Таблица22462791012131457454810[[#This Row],[Столбец3]]-100</f>
        <v>-5.8824607109443008</v>
      </c>
      <c r="F145" s="132">
        <f>B145/$B$5*100</f>
        <v>0.77104613845566006</v>
      </c>
      <c r="G145" s="280">
        <f t="shared" si="4"/>
        <v>0.62902717008400322</v>
      </c>
      <c r="H145" s="205">
        <f>Таблица22462791012131457454810[[#This Row],[Столбец3]]*12.7%</f>
        <v>140.95506022799998</v>
      </c>
      <c r="I145" s="205"/>
      <c r="J145" s="225" t="e">
        <f>5498.2-#REF!</f>
        <v>#REF!</v>
      </c>
    </row>
    <row r="146" spans="1:10" ht="21" x14ac:dyDescent="0.2">
      <c r="A146" s="287" t="s">
        <v>41</v>
      </c>
      <c r="B146" s="134">
        <v>74.819999999999993</v>
      </c>
      <c r="C146" s="91">
        <v>72.7</v>
      </c>
      <c r="D146" s="91">
        <f>Таблица22462791012131457454810[[#This Row],[Столбец2]]-Таблица22462791012131457454810[[#This Row],[Столбец3]]</f>
        <v>-2.1199999999999903</v>
      </c>
      <c r="E146" s="134">
        <f>Таблица22462791012131457454810[[#This Row],[Столбец2]]*100/Таблица22462791012131457454810[[#This Row],[Столбец3]]-100</f>
        <v>-2.833466987436509</v>
      </c>
      <c r="F146" s="134">
        <f>B146/$B$5*100</f>
        <v>5.1978186112751387E-2</v>
      </c>
      <c r="G146" s="276">
        <f t="shared" si="4"/>
        <v>4.3778038719778402E-2</v>
      </c>
      <c r="H146" s="205">
        <f>Таблица22462791012131457454810[[#This Row],[Столбец3]]*12.7%</f>
        <v>9.5021399999999989</v>
      </c>
      <c r="I146" s="205"/>
      <c r="J146" s="225" t="e">
        <f>5498.2-#REF!</f>
        <v>#REF!</v>
      </c>
    </row>
    <row r="147" spans="1:10" ht="21" x14ac:dyDescent="0.2">
      <c r="A147" s="287" t="s">
        <v>40</v>
      </c>
      <c r="B147" s="132">
        <v>1035.0623639999999</v>
      </c>
      <c r="C147" s="96">
        <v>971.89396999999997</v>
      </c>
      <c r="D147" s="96">
        <f>Таблица22462791012131457454810[[#This Row],[Столбец2]]-Таблица22462791012131457454810[[#This Row],[Столбец3]]</f>
        <v>-63.168393999999921</v>
      </c>
      <c r="E147" s="132">
        <f>Таблица22462791012131457454810[[#This Row],[Столбец2]]*100/Таблица22462791012131457454810[[#This Row],[Столбец3]]-100</f>
        <v>-6.1028587452340162</v>
      </c>
      <c r="F147" s="132">
        <f>B147/$B$5*100</f>
        <v>0.71906795234290866</v>
      </c>
      <c r="G147" s="280">
        <f t="shared" si="4"/>
        <v>0.58524913136422485</v>
      </c>
      <c r="H147" s="205">
        <f>Таблица22462791012131457454810[[#This Row],[Столбец3]]*12.7%</f>
        <v>131.45292022799998</v>
      </c>
      <c r="I147" s="205"/>
      <c r="J147" s="225" t="e">
        <f>5498.2-#REF!</f>
        <v>#REF!</v>
      </c>
    </row>
    <row r="148" spans="1:10" ht="29.25" customHeight="1" thickBot="1" x14ac:dyDescent="0.25">
      <c r="A148" s="288" t="s">
        <v>42</v>
      </c>
      <c r="B148" s="289">
        <f>B9-B21</f>
        <v>-1151.5599270000093</v>
      </c>
      <c r="C148" s="289">
        <f>C9-C21</f>
        <v>-2009.2239999999947</v>
      </c>
      <c r="D148" s="289">
        <f>Таблица22462791012131457454810[[#This Row],[Столбец2]]-Таблица22462791012131457454810[[#This Row],[Столбец3]]</f>
        <v>-857.66407299998536</v>
      </c>
      <c r="E148" s="289">
        <f>Таблица22462791012131457454810[[#This Row],[Столбец2]]*100/Таблица22462791012131457454810[[#This Row],[Столбец3]]-100</f>
        <v>74.478457689504012</v>
      </c>
      <c r="F148" s="289">
        <f>B148/$B$5*100</f>
        <v>-0.79999994928619222</v>
      </c>
      <c r="G148" s="290">
        <f t="shared" si="4"/>
        <v>-1.2099021467497635</v>
      </c>
      <c r="H148" s="212">
        <f>Таблица22462791012131457454810[[#This Row],[Столбец3]]*12.7%</f>
        <v>-146.24811072900118</v>
      </c>
      <c r="I148" s="212"/>
      <c r="J148" s="227" t="e">
        <f>5498.2-#REF!</f>
        <v>#REF!</v>
      </c>
    </row>
    <row r="150" spans="1:10" x14ac:dyDescent="0.2">
      <c r="C150" s="253"/>
    </row>
    <row r="151" spans="1:10" x14ac:dyDescent="0.2">
      <c r="C151" s="253"/>
    </row>
  </sheetData>
  <mergeCells count="3">
    <mergeCell ref="A1:G1"/>
    <mergeCell ref="D2:E2"/>
    <mergeCell ref="F2:G2"/>
  </mergeCells>
  <pageMargins left="0.47244094488188981" right="0.31496062992125984" top="0.75" bottom="0.72" header="0.52" footer="0.31496062992125984"/>
  <pageSetup paperSize="9" scale="90" fitToHeight="0" orientation="landscape" r:id="rId1"/>
  <headerFooter>
    <oddFooter>&amp;C&amp;P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166"/>
  <sheetViews>
    <sheetView showGridLines="0" topLeftCell="A3" zoomScale="115" zoomScaleNormal="115" zoomScaleSheetLayoutView="80" workbookViewId="0">
      <pane xSplit="1" ySplit="5" topLeftCell="B151" activePane="bottomRight" state="frozen"/>
      <selection activeCell="A3" sqref="A3"/>
      <selection pane="topRight" activeCell="B3" sqref="B3"/>
      <selection pane="bottomLeft" activeCell="A7" sqref="A7"/>
      <selection pane="bottomRight" activeCell="D163" sqref="D163"/>
    </sheetView>
  </sheetViews>
  <sheetFormatPr defaultColWidth="9.140625" defaultRowHeight="18" outlineLevelRow="1" x14ac:dyDescent="0.2"/>
  <cols>
    <col min="1" max="1" width="58" style="10" customWidth="1"/>
    <col min="2" max="2" width="20.42578125" style="140" customWidth="1"/>
    <col min="3" max="3" width="18" style="140" hidden="1" customWidth="1"/>
    <col min="4" max="4" width="20.42578125" style="233" customWidth="1"/>
    <col min="5" max="5" width="14.7109375" style="10" customWidth="1"/>
    <col min="6" max="6" width="11.42578125" style="10" customWidth="1"/>
    <col min="7" max="8" width="15" style="10" customWidth="1"/>
    <col min="9" max="9" width="3" style="10" hidden="1" customWidth="1"/>
    <col min="10" max="11" width="12.7109375" style="10" hidden="1" customWidth="1"/>
    <col min="12" max="12" width="3.5703125" style="10" customWidth="1"/>
    <col min="13" max="14" width="12.7109375" style="10" customWidth="1"/>
    <col min="15" max="16384" width="9.140625" style="10"/>
  </cols>
  <sheetData>
    <row r="1" spans="1:14" ht="42.75" hidden="1" customHeight="1" x14ac:dyDescent="0.2">
      <c r="B1" s="306"/>
      <c r="C1" s="306"/>
    </row>
    <row r="2" spans="1:14" ht="15.6" hidden="1" customHeight="1" x14ac:dyDescent="0.2">
      <c r="B2" s="251"/>
      <c r="C2" s="251"/>
    </row>
    <row r="3" spans="1:14" ht="26.25" customHeight="1" x14ac:dyDescent="0.2">
      <c r="B3" s="254"/>
      <c r="C3" s="254"/>
      <c r="G3" s="310" t="s">
        <v>131</v>
      </c>
      <c r="H3" s="310"/>
    </row>
    <row r="4" spans="1:14" ht="52.5" customHeight="1" x14ac:dyDescent="0.2">
      <c r="A4" s="307" t="s">
        <v>99</v>
      </c>
      <c r="B4" s="307"/>
      <c r="C4" s="307"/>
      <c r="D4" s="307"/>
      <c r="E4" s="307"/>
      <c r="F4" s="307"/>
      <c r="G4" s="307"/>
      <c r="H4" s="307"/>
    </row>
    <row r="5" spans="1:14" ht="16.5" customHeight="1" x14ac:dyDescent="0.4">
      <c r="A5" s="200"/>
      <c r="B5" s="200"/>
      <c r="C5" s="200"/>
      <c r="D5" s="234"/>
      <c r="E5" s="308"/>
      <c r="F5" s="308"/>
      <c r="G5" s="309" t="s">
        <v>84</v>
      </c>
      <c r="H5" s="309"/>
    </row>
    <row r="6" spans="1:14" s="202" customFormat="1" ht="36" hidden="1" customHeight="1" x14ac:dyDescent="0.2">
      <c r="A6" s="66"/>
      <c r="B6" s="66"/>
      <c r="C6" s="66"/>
      <c r="D6" s="235"/>
      <c r="E6" s="142"/>
      <c r="F6" s="142"/>
      <c r="G6" s="162"/>
      <c r="H6" s="162" t="s">
        <v>77</v>
      </c>
      <c r="I6" s="201">
        <f>Таблица224627910121314574548[[#This Row],[Столбец3]]*12.7%</f>
        <v>0</v>
      </c>
      <c r="J6" s="201"/>
      <c r="K6" s="223">
        <f>5498.2-Таблица224627910121314574548[[#This Row],[Столбец4]]</f>
        <v>5498.2</v>
      </c>
      <c r="L6" s="223"/>
      <c r="M6" s="223"/>
      <c r="N6" s="223"/>
    </row>
    <row r="7" spans="1:14" ht="63" customHeight="1" x14ac:dyDescent="0.2">
      <c r="A7" s="183" t="s">
        <v>26</v>
      </c>
      <c r="B7" s="184" t="s">
        <v>96</v>
      </c>
      <c r="C7" s="184" t="s">
        <v>97</v>
      </c>
      <c r="D7" s="236" t="s">
        <v>98</v>
      </c>
      <c r="E7" s="184" t="s">
        <v>100</v>
      </c>
      <c r="F7" s="184" t="s">
        <v>50</v>
      </c>
      <c r="G7" s="184" t="s">
        <v>101</v>
      </c>
      <c r="H7" s="185" t="s">
        <v>83</v>
      </c>
      <c r="I7" s="201" t="e">
        <f>Таблица224627910121314574548[[#This Row],[Столбец3]]*12.7%</f>
        <v>#VALUE!</v>
      </c>
      <c r="J7" s="201"/>
      <c r="K7" s="223" t="e">
        <f>5498.2-Таблица224627910121314574548[[#This Row],[Столбец4]]</f>
        <v>#VALUE!</v>
      </c>
      <c r="L7" s="223"/>
      <c r="M7" s="223"/>
      <c r="N7" s="223"/>
    </row>
    <row r="8" spans="1:14" s="204" customFormat="1" ht="42.75" customHeight="1" x14ac:dyDescent="0.2">
      <c r="A8" s="143" t="s">
        <v>18</v>
      </c>
      <c r="B8" s="144">
        <v>143945</v>
      </c>
      <c r="C8" s="144">
        <v>165094</v>
      </c>
      <c r="D8" s="237">
        <v>165094</v>
      </c>
      <c r="E8" s="144">
        <f>Таблица224627910121314574548[[#This Row],[Столбец2]]-Таблица224627910121314574548[[#This Row],[Столбец3]]</f>
        <v>21149</v>
      </c>
      <c r="F8" s="135">
        <f>Таблица224627910121314574548[[#This Row],[Столбец2]]*100/Таблица224627910121314574548[[#This Row],[Столбец3]]-100</f>
        <v>14.692417242696862</v>
      </c>
      <c r="G8" s="145" t="s">
        <v>16</v>
      </c>
      <c r="H8" s="146" t="s">
        <v>16</v>
      </c>
      <c r="I8" s="203">
        <f>Таблица224627910121314574548[[#This Row],[Столбец3]]*12.7%</f>
        <v>18281.014999999999</v>
      </c>
      <c r="J8" s="203"/>
      <c r="K8" s="224">
        <f>5498.2-Таблица224627910121314574548[[#This Row],[Столбец4]]</f>
        <v>-159595.79999999999</v>
      </c>
      <c r="L8" s="224"/>
      <c r="M8" s="224"/>
      <c r="N8" s="224"/>
    </row>
    <row r="9" spans="1:14" s="133" customFormat="1" ht="21" x14ac:dyDescent="0.2">
      <c r="A9" s="77" t="s">
        <v>15</v>
      </c>
      <c r="B9" s="134">
        <v>13.1</v>
      </c>
      <c r="C9" s="134">
        <f>C8/B8*100-100</f>
        <v>14.692417242696848</v>
      </c>
      <c r="D9" s="164">
        <f>D8/B8*100-100</f>
        <v>14.692417242696848</v>
      </c>
      <c r="E9" s="134" t="s">
        <v>16</v>
      </c>
      <c r="F9" s="134" t="s">
        <v>16</v>
      </c>
      <c r="G9" s="79" t="s">
        <v>16</v>
      </c>
      <c r="H9" s="80" t="s">
        <v>16</v>
      </c>
      <c r="I9" s="205">
        <f>Таблица224627910121314574548[[#This Row],[Столбец3]]*12.7%</f>
        <v>1.6637</v>
      </c>
      <c r="J9" s="205"/>
      <c r="K9" s="225">
        <f>5498.2-Таблица224627910121314574548[[#This Row],[Столбец4]]</f>
        <v>5483.5075827573028</v>
      </c>
      <c r="L9" s="225"/>
      <c r="M9" s="225"/>
      <c r="N9" s="225"/>
    </row>
    <row r="10" spans="1:14" s="133" customFormat="1" ht="21" x14ac:dyDescent="0.2">
      <c r="A10" s="77" t="s">
        <v>0</v>
      </c>
      <c r="B10" s="134">
        <v>8</v>
      </c>
      <c r="C10" s="134">
        <v>8.3000000000000007</v>
      </c>
      <c r="D10" s="164">
        <v>8.3000000000000007</v>
      </c>
      <c r="E10" s="134" t="s">
        <v>16</v>
      </c>
      <c r="F10" s="134" t="s">
        <v>16</v>
      </c>
      <c r="G10" s="79" t="s">
        <v>16</v>
      </c>
      <c r="H10" s="80" t="s">
        <v>16</v>
      </c>
      <c r="I10" s="205">
        <f>Таблица224627910121314574548[[#This Row],[Столбец3]]*12.7%</f>
        <v>1.016</v>
      </c>
      <c r="J10" s="205"/>
      <c r="K10" s="225">
        <f>5498.2-Таблица224627910121314574548[[#This Row],[Столбец4]]</f>
        <v>5489.9</v>
      </c>
      <c r="L10" s="225"/>
      <c r="M10" s="225"/>
      <c r="N10" s="225"/>
    </row>
    <row r="11" spans="1:14" s="136" customFormat="1" ht="21" x14ac:dyDescent="0.2">
      <c r="A11" s="77" t="s">
        <v>9</v>
      </c>
      <c r="B11" s="134">
        <v>2.6</v>
      </c>
      <c r="C11" s="134">
        <v>4.5999999999999996</v>
      </c>
      <c r="D11" s="164">
        <v>4.5999999999999996</v>
      </c>
      <c r="E11" s="134" t="s">
        <v>16</v>
      </c>
      <c r="F11" s="134" t="s">
        <v>16</v>
      </c>
      <c r="G11" s="79" t="s">
        <v>16</v>
      </c>
      <c r="H11" s="80" t="s">
        <v>16</v>
      </c>
      <c r="I11" s="205">
        <f>Таблица224627910121314574548[[#This Row],[Столбец3]]*12.7%</f>
        <v>0.33019999999999999</v>
      </c>
      <c r="J11" s="205"/>
      <c r="K11" s="225">
        <f>5498.2-Таблица224627910121314574548[[#This Row],[Столбец4]]</f>
        <v>5493.5999999999995</v>
      </c>
      <c r="L11" s="225"/>
      <c r="M11" s="225"/>
      <c r="N11" s="225"/>
    </row>
    <row r="12" spans="1:14" s="133" customFormat="1" ht="42.75" customHeight="1" x14ac:dyDescent="0.2">
      <c r="A12" s="120" t="s">
        <v>17</v>
      </c>
      <c r="B12" s="218">
        <f>B16+B20+B23</f>
        <v>42956.462999999996</v>
      </c>
      <c r="C12" s="218">
        <f>C16+C20+C23</f>
        <v>45660.274414</v>
      </c>
      <c r="D12" s="238">
        <f>D16+D20+D23</f>
        <v>47229.902200000004</v>
      </c>
      <c r="E12" s="218">
        <f>Таблица224627910121314574548[[#This Row],[Столбец2]]-Таблица224627910121314574548[[#This Row],[Столбец3]]</f>
        <v>4273.439200000008</v>
      </c>
      <c r="F12" s="218">
        <f>Таблица224627910121314574548[[#This Row],[Столбец2]]*100/Таблица224627910121314574548[[#This Row],[Столбец3]]-100</f>
        <v>9.9483032390260178</v>
      </c>
      <c r="G12" s="218">
        <f>B12/$B$8*100</f>
        <v>29.842275174545829</v>
      </c>
      <c r="H12" s="219">
        <f>D12/$D$8*100</f>
        <v>28.607885325935527</v>
      </c>
      <c r="I12" s="205">
        <f>Таблица224627910121314574548[[#This Row],[Столбец3]]*12.7%</f>
        <v>5455.4708009999995</v>
      </c>
      <c r="J12" s="205"/>
      <c r="K12" s="226">
        <f>5498.2-Таблица224627910121314574548[[#This Row],[Столбец4]]</f>
        <v>-40162.074414000002</v>
      </c>
      <c r="L12" s="225"/>
      <c r="M12" s="225"/>
      <c r="N12" s="225"/>
    </row>
    <row r="13" spans="1:14" s="133" customFormat="1" ht="42.75" customHeight="1" x14ac:dyDescent="0.2">
      <c r="A13" s="143" t="s">
        <v>49</v>
      </c>
      <c r="B13" s="147">
        <f>B14+B15</f>
        <v>28169</v>
      </c>
      <c r="C13" s="147">
        <f>C14+C15</f>
        <v>32684.3</v>
      </c>
      <c r="D13" s="239">
        <f>D14+D15</f>
        <v>32684.3</v>
      </c>
      <c r="E13" s="147">
        <f>Таблица224627910121314574548[[#This Row],[Столбец2]]-Таблица224627910121314574548[[#This Row],[Столбец3]]</f>
        <v>4515.2999999999993</v>
      </c>
      <c r="F13" s="147">
        <f>Таблица224627910121314574548[[#This Row],[Столбец2]]*100/Таблица224627910121314574548[[#This Row],[Столбец3]]-100</f>
        <v>16.029323014661514</v>
      </c>
      <c r="G13" s="147">
        <f t="shared" ref="G13:G83" si="0">B13/$B$8*100</f>
        <v>19.569279933307861</v>
      </c>
      <c r="H13" s="187">
        <f t="shared" ref="H13:H83" si="1">D13/$D$8*100</f>
        <v>19.797388154627061</v>
      </c>
      <c r="I13" s="206">
        <f>Таблица224627910121314574548[[#This Row],[Столбец3]]*12.7%</f>
        <v>3577.4630000000002</v>
      </c>
      <c r="J13" s="205"/>
      <c r="K13" s="225">
        <f>5498.2-Таблица224627910121314574548[[#This Row],[Столбец4]]</f>
        <v>-27186.1</v>
      </c>
      <c r="L13" s="225"/>
      <c r="M13" s="225"/>
      <c r="N13" s="225"/>
    </row>
    <row r="14" spans="1:14" s="133" customFormat="1" ht="25.5" customHeight="1" x14ac:dyDescent="0.2">
      <c r="A14" s="148" t="s">
        <v>46</v>
      </c>
      <c r="B14" s="134">
        <v>26348.085999999999</v>
      </c>
      <c r="C14" s="134">
        <v>30772.5</v>
      </c>
      <c r="D14" s="164">
        <v>30772.5</v>
      </c>
      <c r="E14" s="134">
        <f>Таблица224627910121314574548[[#This Row],[Столбец2]]-Таблица224627910121314574548[[#This Row],[Столбец3]]</f>
        <v>4424.4140000000007</v>
      </c>
      <c r="F14" s="134">
        <f>Таблица224627910121314574548[[#This Row],[Столбец2]]*100/Таблица224627910121314574548[[#This Row],[Столбец3]]-100</f>
        <v>16.792164713596279</v>
      </c>
      <c r="G14" s="134">
        <f>B14/$B$8*100</f>
        <v>18.304273159887458</v>
      </c>
      <c r="H14" s="188">
        <f t="shared" si="1"/>
        <v>18.639381201012757</v>
      </c>
      <c r="I14" s="205">
        <f>Таблица224627910121314574548[[#This Row],[Столбец3]]*12.7%</f>
        <v>3346.2069219999998</v>
      </c>
      <c r="J14" s="205"/>
      <c r="K14" s="225">
        <f>5498.2-Таблица224627910121314574548[[#This Row],[Столбец4]]</f>
        <v>-25274.3</v>
      </c>
      <c r="L14" s="225"/>
      <c r="M14" s="225"/>
      <c r="N14" s="225"/>
    </row>
    <row r="15" spans="1:14" s="133" customFormat="1" ht="25.5" customHeight="1" x14ac:dyDescent="0.2">
      <c r="A15" s="148" t="s">
        <v>45</v>
      </c>
      <c r="B15" s="134">
        <v>1820.914</v>
      </c>
      <c r="C15" s="134">
        <v>1911.8</v>
      </c>
      <c r="D15" s="164">
        <v>1911.8</v>
      </c>
      <c r="E15" s="134">
        <f>Таблица224627910121314574548[[#This Row],[Столбец2]]-Таблица224627910121314574548[[#This Row],[Столбец3]]</f>
        <v>90.885999999999967</v>
      </c>
      <c r="F15" s="134">
        <f>Таблица224627910121314574548[[#This Row],[Столбец2]]*100/Таблица224627910121314574548[[#This Row],[Столбец3]]-100</f>
        <v>4.9912296791611226</v>
      </c>
      <c r="G15" s="134">
        <f t="shared" si="0"/>
        <v>1.2650067734204036</v>
      </c>
      <c r="H15" s="188">
        <f t="shared" si="1"/>
        <v>1.1580069536143045</v>
      </c>
      <c r="I15" s="205">
        <f>Таблица224627910121314574548[[#This Row],[Столбец3]]*12.7%</f>
        <v>231.256078</v>
      </c>
      <c r="J15" s="205"/>
      <c r="K15" s="225">
        <f>5498.2-Таблица224627910121314574548[[#This Row],[Столбец4]]</f>
        <v>3586.3999999999996</v>
      </c>
      <c r="L15" s="225"/>
      <c r="M15" s="225"/>
      <c r="N15" s="225"/>
    </row>
    <row r="16" spans="1:14" s="133" customFormat="1" ht="42.75" customHeight="1" x14ac:dyDescent="0.2">
      <c r="A16" s="143" t="s">
        <v>48</v>
      </c>
      <c r="B16" s="147">
        <f>B17+B18+B19</f>
        <v>28961</v>
      </c>
      <c r="C16" s="147">
        <f>C17+C18+C19</f>
        <v>33876.300000000003</v>
      </c>
      <c r="D16" s="239">
        <f>D17+D18+D19</f>
        <v>33876.300000000003</v>
      </c>
      <c r="E16" s="147">
        <f>Таблица224627910121314574548[[#This Row],[Столбец2]]-Таблица224627910121314574548[[#This Row],[Столбец3]]</f>
        <v>4915.3000000000029</v>
      </c>
      <c r="F16" s="147">
        <f>Таблица224627910121314574548[[#This Row],[Столбец2]]*100/Таблица224627910121314574548[[#This Row],[Столбец3]]-100</f>
        <v>16.972134940091863</v>
      </c>
      <c r="G16" s="147">
        <f t="shared" si="0"/>
        <v>20.119490083017819</v>
      </c>
      <c r="H16" s="187">
        <f t="shared" si="1"/>
        <v>20.5194010684822</v>
      </c>
      <c r="I16" s="205">
        <f>Таблица224627910121314574548[[#This Row],[Столбец3]]*12.7%</f>
        <v>3678.047</v>
      </c>
      <c r="J16" s="205"/>
      <c r="K16" s="225">
        <f>5498.2-Таблица224627910121314574548[[#This Row],[Столбец4]]</f>
        <v>-28378.100000000002</v>
      </c>
      <c r="L16" s="225"/>
      <c r="M16" s="225"/>
      <c r="N16" s="225"/>
    </row>
    <row r="17" spans="1:14" s="133" customFormat="1" ht="25.5" customHeight="1" x14ac:dyDescent="0.2">
      <c r="A17" s="148" t="s">
        <v>62</v>
      </c>
      <c r="B17" s="134">
        <v>26348.085999999999</v>
      </c>
      <c r="C17" s="134">
        <f>C14</f>
        <v>30772.5</v>
      </c>
      <c r="D17" s="164">
        <f>D14</f>
        <v>30772.5</v>
      </c>
      <c r="E17" s="134">
        <f>Таблица224627910121314574548[[#This Row],[Столбец2]]-Таблица224627910121314574548[[#This Row],[Столбец3]]</f>
        <v>4424.4140000000007</v>
      </c>
      <c r="F17" s="134">
        <f>Таблица224627910121314574548[[#This Row],[Столбец2]]*100/Таблица224627910121314574548[[#This Row],[Столбец3]]-100</f>
        <v>16.792164713596279</v>
      </c>
      <c r="G17" s="134">
        <f t="shared" si="0"/>
        <v>18.304273159887458</v>
      </c>
      <c r="H17" s="188">
        <f t="shared" si="1"/>
        <v>18.639381201012757</v>
      </c>
      <c r="I17" s="205">
        <f>Таблица224627910121314574548[[#This Row],[Столбец3]]*12.7%</f>
        <v>3346.2069219999998</v>
      </c>
      <c r="J17" s="205"/>
      <c r="K17" s="225">
        <f>5498.2-Таблица224627910121314574548[[#This Row],[Столбец4]]</f>
        <v>-25274.3</v>
      </c>
      <c r="L17" s="225"/>
      <c r="M17" s="225"/>
      <c r="N17" s="225"/>
    </row>
    <row r="18" spans="1:14" s="133" customFormat="1" ht="25.5" customHeight="1" x14ac:dyDescent="0.2">
      <c r="A18" s="148" t="s">
        <v>45</v>
      </c>
      <c r="B18" s="134">
        <v>1820.914</v>
      </c>
      <c r="C18" s="134">
        <f>C15</f>
        <v>1911.8</v>
      </c>
      <c r="D18" s="164">
        <f>D15</f>
        <v>1911.8</v>
      </c>
      <c r="E18" s="134">
        <f>Таблица224627910121314574548[[#This Row],[Столбец2]]-Таблица224627910121314574548[[#This Row],[Столбец3]]</f>
        <v>90.885999999999967</v>
      </c>
      <c r="F18" s="134">
        <f>Таблица224627910121314574548[[#This Row],[Столбец2]]*100/Таблица224627910121314574548[[#This Row],[Столбец3]]-100</f>
        <v>4.9912296791611226</v>
      </c>
      <c r="G18" s="134">
        <f t="shared" si="0"/>
        <v>1.2650067734204036</v>
      </c>
      <c r="H18" s="188">
        <f t="shared" si="1"/>
        <v>1.1580069536143045</v>
      </c>
      <c r="I18" s="205">
        <f>Таблица224627910121314574548[[#This Row],[Столбец3]]*12.7%</f>
        <v>231.256078</v>
      </c>
      <c r="J18" s="205"/>
      <c r="K18" s="225">
        <f>5498.2-Таблица224627910121314574548[[#This Row],[Столбец4]]</f>
        <v>3586.3999999999996</v>
      </c>
      <c r="L18" s="225"/>
      <c r="M18" s="225"/>
      <c r="N18" s="225"/>
    </row>
    <row r="19" spans="1:14" s="133" customFormat="1" ht="25.5" customHeight="1" x14ac:dyDescent="0.2">
      <c r="A19" s="148" t="s">
        <v>25</v>
      </c>
      <c r="B19" s="134">
        <v>792</v>
      </c>
      <c r="C19" s="134">
        <v>1192</v>
      </c>
      <c r="D19" s="164">
        <v>1192</v>
      </c>
      <c r="E19" s="134">
        <f>Таблица224627910121314574548[[#This Row],[Столбец2]]-Таблица224627910121314574548[[#This Row],[Столбец3]]</f>
        <v>400</v>
      </c>
      <c r="F19" s="134">
        <f>Таблица224627910121314574548[[#This Row],[Столбец2]]*100/Таблица224627910121314574548[[#This Row],[Столбец3]]-100</f>
        <v>50.505050505050491</v>
      </c>
      <c r="G19" s="134">
        <f t="shared" si="0"/>
        <v>0.55021014970995874</v>
      </c>
      <c r="H19" s="188">
        <f t="shared" si="1"/>
        <v>0.722012913855137</v>
      </c>
      <c r="I19" s="205">
        <f>Таблица224627910121314574548[[#This Row],[Столбец3]]*12.7%</f>
        <v>100.584</v>
      </c>
      <c r="J19" s="205"/>
      <c r="K19" s="225">
        <f>5498.2-Таблица224627910121314574548[[#This Row],[Столбец4]]</f>
        <v>4306.2</v>
      </c>
      <c r="L19" s="225"/>
      <c r="M19" s="225"/>
      <c r="N19" s="225"/>
    </row>
    <row r="20" spans="1:14" s="133" customFormat="1" ht="42.75" customHeight="1" x14ac:dyDescent="0.2">
      <c r="A20" s="143" t="s">
        <v>104</v>
      </c>
      <c r="B20" s="147">
        <f>B21+B22</f>
        <v>11410.431</v>
      </c>
      <c r="C20" s="147">
        <f>C21+C22</f>
        <v>9149.9650000000001</v>
      </c>
      <c r="D20" s="239">
        <f>D21+D22</f>
        <v>10687.844999999999</v>
      </c>
      <c r="E20" s="147">
        <f>Таблица224627910121314574548[[#This Row],[Столбец2]]-Таблица224627910121314574548[[#This Row],[Столбец3]]</f>
        <v>-722.58600000000115</v>
      </c>
      <c r="F20" s="147">
        <f>Таблица224627910121314574548[[#This Row],[Столбец2]]*100/Таблица224627910121314574548[[#This Row],[Столбец3]]-100</f>
        <v>-6.3326792826668878</v>
      </c>
      <c r="G20" s="147">
        <f t="shared" si="0"/>
        <v>7.9269380666226681</v>
      </c>
      <c r="H20" s="187">
        <f t="shared" si="1"/>
        <v>6.4737937175185039</v>
      </c>
      <c r="I20" s="205">
        <f>Таблица224627910121314574548[[#This Row],[Столбец3]]*12.7%</f>
        <v>1449.1247370000001</v>
      </c>
      <c r="J20" s="205"/>
      <c r="K20" s="225">
        <f>5498.2-Таблица224627910121314574548[[#This Row],[Столбец4]]</f>
        <v>-3651.7650000000003</v>
      </c>
      <c r="L20" s="225"/>
      <c r="M20" s="225"/>
      <c r="N20" s="225"/>
    </row>
    <row r="21" spans="1:14" s="136" customFormat="1" ht="27.75" customHeight="1" x14ac:dyDescent="0.2">
      <c r="A21" s="148" t="s">
        <v>21</v>
      </c>
      <c r="B21" s="134">
        <v>6767.2510000000002</v>
      </c>
      <c r="C21" s="134">
        <v>4949.2879999999996</v>
      </c>
      <c r="D21" s="164">
        <v>6415.5919999999996</v>
      </c>
      <c r="E21" s="134">
        <f>Таблица224627910121314574548[[#This Row],[Столбец2]]-Таблица224627910121314574548[[#This Row],[Столбец3]]</f>
        <v>-351.65900000000056</v>
      </c>
      <c r="F21" s="134">
        <f>Таблица224627910121314574548[[#This Row],[Столбец2]]*100/Таблица224627910121314574548[[#This Row],[Столбец3]]-100</f>
        <v>-5.1964822939181801</v>
      </c>
      <c r="G21" s="134">
        <f t="shared" si="0"/>
        <v>4.7012754871652369</v>
      </c>
      <c r="H21" s="188">
        <f t="shared" si="1"/>
        <v>3.8860237198202232</v>
      </c>
      <c r="I21" s="205">
        <f>Таблица224627910121314574548[[#This Row],[Столбец3]]*12.7%</f>
        <v>859.440877</v>
      </c>
      <c r="J21" s="205"/>
      <c r="K21" s="225">
        <f>5498.2-Таблица224627910121314574548[[#This Row],[Столбец4]]</f>
        <v>548.91200000000026</v>
      </c>
      <c r="L21" s="225"/>
      <c r="M21" s="225"/>
      <c r="N21" s="225"/>
    </row>
    <row r="22" spans="1:14" s="133" customFormat="1" ht="27.75" customHeight="1" x14ac:dyDescent="0.2">
      <c r="A22" s="148" t="s">
        <v>22</v>
      </c>
      <c r="B22" s="134">
        <v>4643.18</v>
      </c>
      <c r="C22" s="134">
        <v>4200.6769999999997</v>
      </c>
      <c r="D22" s="164">
        <v>4272.2529999999997</v>
      </c>
      <c r="E22" s="134">
        <f>Таблица224627910121314574548[[#This Row],[Столбец2]]-Таблица224627910121314574548[[#This Row],[Столбец3]]</f>
        <v>-370.92700000000059</v>
      </c>
      <c r="F22" s="134">
        <f>Таблица224627910121314574548[[#This Row],[Столбец2]]*100/Таблица224627910121314574548[[#This Row],[Столбец3]]-100</f>
        <v>-7.9886414052438255</v>
      </c>
      <c r="G22" s="134">
        <f t="shared" si="0"/>
        <v>3.2256625794574321</v>
      </c>
      <c r="H22" s="188">
        <f t="shared" si="1"/>
        <v>2.5877699976982806</v>
      </c>
      <c r="I22" s="205">
        <f>Таблица224627910121314574548[[#This Row],[Столбец3]]*12.7%</f>
        <v>589.6838600000001</v>
      </c>
      <c r="J22" s="205"/>
      <c r="K22" s="225">
        <f>5498.2-Таблица224627910121314574548[[#This Row],[Столбец4]]</f>
        <v>1297.5230000000001</v>
      </c>
      <c r="L22" s="225"/>
      <c r="M22" s="225"/>
      <c r="N22" s="225"/>
    </row>
    <row r="23" spans="1:14" s="133" customFormat="1" ht="42" x14ac:dyDescent="0.2">
      <c r="A23" s="143" t="s">
        <v>23</v>
      </c>
      <c r="B23" s="135">
        <v>2585.0320000000002</v>
      </c>
      <c r="C23" s="135">
        <v>2634.0094140000001</v>
      </c>
      <c r="D23" s="240">
        <v>2665.7572</v>
      </c>
      <c r="E23" s="86">
        <f>Таблица224627910121314574548[[#This Row],[Столбец2]]-Таблица224627910121314574548[[#This Row],[Столбец3]]</f>
        <v>80.725199999999859</v>
      </c>
      <c r="F23" s="135">
        <f>Таблица224627910121314574548[[#This Row],[Столбец2]]*100/Таблица224627910121314574548[[#This Row],[Столбец3]]-100</f>
        <v>3.1227930640703647</v>
      </c>
      <c r="G23" s="135">
        <f t="shared" si="0"/>
        <v>1.795847024905346</v>
      </c>
      <c r="H23" s="186">
        <f t="shared" si="1"/>
        <v>1.6146905399348248</v>
      </c>
      <c r="I23" s="207">
        <f>Таблица224627910121314574548[[#This Row],[Столбец3]]*12.7%</f>
        <v>328.29906400000004</v>
      </c>
      <c r="J23" s="205"/>
      <c r="K23" s="225">
        <f>5498.2-Таблица224627910121314574548[[#This Row],[Столбец4]]</f>
        <v>2864.1905859999997</v>
      </c>
      <c r="L23" s="225"/>
      <c r="M23" s="225"/>
      <c r="N23" s="225"/>
    </row>
    <row r="24" spans="1:14" s="136" customFormat="1" ht="48.75" customHeight="1" x14ac:dyDescent="0.2">
      <c r="A24" s="120" t="s">
        <v>51</v>
      </c>
      <c r="B24" s="218">
        <f>B25+B30+B33</f>
        <v>44108.022927000005</v>
      </c>
      <c r="C24" s="218">
        <f>C25+C30+C33</f>
        <v>47629.790369999995</v>
      </c>
      <c r="D24" s="218">
        <f>D25+D30+D33</f>
        <v>51230.910002000004</v>
      </c>
      <c r="E24" s="218">
        <f>E25+E30+E33</f>
        <v>7122.8870749999969</v>
      </c>
      <c r="F24" s="218">
        <f>Таблица224627910121314574548[[#This Row],[Столбец2]]*100/Таблица224627910121314574548[[#This Row],[Столбец3]]-100</f>
        <v>16.148733500906573</v>
      </c>
      <c r="G24" s="218">
        <f t="shared" si="0"/>
        <v>30.642275123832025</v>
      </c>
      <c r="H24" s="219">
        <f t="shared" si="1"/>
        <v>31.031357894290529</v>
      </c>
      <c r="I24" s="205">
        <f>Таблица224627910121314574548[[#This Row],[Столбец3]]*12.7%</f>
        <v>5601.7189117290009</v>
      </c>
      <c r="J24" s="207"/>
      <c r="K24" s="226">
        <f>5498.2-Таблица224627910121314574548[[#This Row],[Столбец4]]</f>
        <v>-42131.590369999998</v>
      </c>
      <c r="L24" s="225"/>
      <c r="M24" s="225"/>
      <c r="N24" s="225"/>
    </row>
    <row r="25" spans="1:14" s="133" customFormat="1" ht="21" x14ac:dyDescent="0.2">
      <c r="A25" s="150" t="s">
        <v>27</v>
      </c>
      <c r="B25" s="135">
        <f t="shared" ref="B25:D26" si="2">B35+B43+B51+B91+B144</f>
        <v>30281.296280000002</v>
      </c>
      <c r="C25" s="86">
        <f t="shared" si="2"/>
        <v>36014.548136999998</v>
      </c>
      <c r="D25" s="240">
        <f t="shared" si="2"/>
        <v>38045.069912999999</v>
      </c>
      <c r="E25" s="86">
        <f>Таблица224627910121314574548[[#This Row],[Столбец2]]-Таблица224627910121314574548[[#This Row],[Столбец3]]</f>
        <v>7763.7736329999971</v>
      </c>
      <c r="F25" s="135">
        <f>Таблица224627910121314574548[[#This Row],[Столбец2]]*100/Таблица224627910121314574548[[#This Row],[Столбец3]]-100</f>
        <v>25.638841749742937</v>
      </c>
      <c r="G25" s="135">
        <f t="shared" si="0"/>
        <v>21.036712827816181</v>
      </c>
      <c r="H25" s="186">
        <f t="shared" si="1"/>
        <v>23.044489753110348</v>
      </c>
      <c r="I25" s="205">
        <f>Таблица224627910121314574548[[#This Row],[Столбец3]]*12.7%</f>
        <v>3845.7246275600005</v>
      </c>
      <c r="J25" s="205"/>
      <c r="K25" s="226">
        <f>5498.2-Таблица224627910121314574548[[#This Row],[Столбец4]]</f>
        <v>-30516.348136999997</v>
      </c>
      <c r="L25" s="225"/>
      <c r="M25" s="225"/>
      <c r="N25" s="225"/>
    </row>
    <row r="26" spans="1:14" s="133" customFormat="1" ht="21" x14ac:dyDescent="0.2">
      <c r="A26" s="149" t="s">
        <v>33</v>
      </c>
      <c r="B26" s="134">
        <f t="shared" si="2"/>
        <v>9564.2898999999998</v>
      </c>
      <c r="C26" s="91">
        <f t="shared" si="2"/>
        <v>13131.249104</v>
      </c>
      <c r="D26" s="245">
        <f t="shared" si="2"/>
        <v>13007.278085000002</v>
      </c>
      <c r="E26" s="91">
        <f>Таблица224627910121314574548[[#This Row],[Столбец2]]-Таблица224627910121314574548[[#This Row],[Столбец3]]</f>
        <v>3442.988185000002</v>
      </c>
      <c r="F26" s="134">
        <f>Таблица224627910121314574548[[#This Row],[Столбец2]]*100/Таблица224627910121314574548[[#This Row],[Столбец3]]-100</f>
        <v>35.998367061207574</v>
      </c>
      <c r="G26" s="134">
        <f t="shared" si="0"/>
        <v>6.6444057799854113</v>
      </c>
      <c r="H26" s="188">
        <f t="shared" si="1"/>
        <v>7.8787103619756023</v>
      </c>
      <c r="I26" s="205">
        <f>Таблица224627910121314574548[[#This Row],[Столбец3]]*12.7%</f>
        <v>1214.6648173000001</v>
      </c>
      <c r="J26" s="205"/>
      <c r="K26" s="225">
        <f>5498.2-Таблица224627910121314574548[[#This Row],[Столбец4]]</f>
        <v>-7633.0491040000006</v>
      </c>
      <c r="L26" s="225"/>
      <c r="M26" s="225"/>
      <c r="N26" s="225"/>
    </row>
    <row r="27" spans="1:14" s="133" customFormat="1" ht="21" x14ac:dyDescent="0.2">
      <c r="A27" s="149" t="s">
        <v>34</v>
      </c>
      <c r="B27" s="134">
        <f>B37+B45+B53+B93</f>
        <v>4905.2889999999998</v>
      </c>
      <c r="C27" s="91">
        <f>C37+C45+C53+C93</f>
        <v>4816.4850000000006</v>
      </c>
      <c r="D27" s="245">
        <f>D37+D45+D53+D93</f>
        <v>5145.5913</v>
      </c>
      <c r="E27" s="91">
        <f>Таблица224627910121314574548[[#This Row],[Столбец2]]-Таблица224627910121314574548[[#This Row],[Столбец3]]</f>
        <v>240.30230000000029</v>
      </c>
      <c r="F27" s="134">
        <f>Таблица224627910121314574548[[#This Row],[Столбец2]]*100/Таблица224627910121314574548[[#This Row],[Столбец3]]-100</f>
        <v>4.898840822630433</v>
      </c>
      <c r="G27" s="134">
        <f t="shared" si="0"/>
        <v>3.4077522664906734</v>
      </c>
      <c r="H27" s="188">
        <f t="shared" si="1"/>
        <v>3.1167645704871165</v>
      </c>
      <c r="I27" s="205">
        <f>Таблица224627910121314574548[[#This Row],[Столбец3]]*12.7%</f>
        <v>622.97170299999993</v>
      </c>
      <c r="J27" s="205"/>
      <c r="K27" s="225">
        <f>5498.2-Таблица224627910121314574548[[#This Row],[Столбец4]]</f>
        <v>681.71499999999924</v>
      </c>
      <c r="L27" s="225"/>
      <c r="M27" s="225"/>
      <c r="N27" s="225"/>
    </row>
    <row r="28" spans="1:14" s="133" customFormat="1" ht="21" outlineLevel="1" x14ac:dyDescent="0.2">
      <c r="A28" s="149" t="s">
        <v>35</v>
      </c>
      <c r="B28" s="132">
        <f>B38+B46+B54+B94+B144-B145</f>
        <v>15463.920248999999</v>
      </c>
      <c r="C28" s="96">
        <f>C38+C46+C54+C94+C144-C145</f>
        <v>17701.959129000003</v>
      </c>
      <c r="D28" s="243">
        <f>D38+D46+D54+D94+D144-D145</f>
        <v>19493.207470000001</v>
      </c>
      <c r="E28" s="96">
        <f>Таблица224627910121314574548[[#This Row],[Столбец2]]-Таблица224627910121314574548[[#This Row],[Столбец3]]</f>
        <v>4029.2872210000023</v>
      </c>
      <c r="F28" s="132">
        <f>Таблица224627910121314574548[[#This Row],[Столбец2]]*100/Таблица224627910121314574548[[#This Row],[Столбец3]]-100</f>
        <v>26.056052773943691</v>
      </c>
      <c r="G28" s="132">
        <f t="shared" si="0"/>
        <v>10.742936711243877</v>
      </c>
      <c r="H28" s="189">
        <f t="shared" si="1"/>
        <v>11.807338528353545</v>
      </c>
      <c r="I28" s="205">
        <f>Таблица224627910121314574548[[#This Row],[Столбец3]]*12.7%</f>
        <v>1963.9178716229999</v>
      </c>
      <c r="J28" s="205"/>
      <c r="K28" s="225">
        <f>5498.2-Таблица224627910121314574548[[#This Row],[Столбец4]]</f>
        <v>-12203.759129000002</v>
      </c>
      <c r="L28" s="225"/>
      <c r="M28" s="225"/>
      <c r="N28" s="225"/>
    </row>
    <row r="29" spans="1:14" s="133" customFormat="1" ht="21" outlineLevel="1" x14ac:dyDescent="0.2">
      <c r="A29" s="229" t="s">
        <v>102</v>
      </c>
      <c r="B29" s="132">
        <f t="shared" ref="B29:D30" si="3">B39+B47+B55+B95</f>
        <v>347.79713100000004</v>
      </c>
      <c r="C29" s="96">
        <f t="shared" si="3"/>
        <v>364.85490399999998</v>
      </c>
      <c r="D29" s="243">
        <f t="shared" si="3"/>
        <v>398.99305800000002</v>
      </c>
      <c r="E29" s="96">
        <f>Таблица224627910121314574548[[#This Row],[Столбец2]]-Таблица224627910121314574548[[#This Row],[Столбец3]]</f>
        <v>51.195926999999983</v>
      </c>
      <c r="F29" s="132">
        <f>Таблица224627910121314574548[[#This Row],[Столбец2]]*100/Таблица224627910121314574548[[#This Row],[Столбец3]]-100</f>
        <v>14.720054433111457</v>
      </c>
      <c r="G29" s="132">
        <f t="shared" si="0"/>
        <v>0.24161807009621733</v>
      </c>
      <c r="H29" s="189">
        <f t="shared" si="1"/>
        <v>0.24167629229408702</v>
      </c>
      <c r="I29" s="232">
        <f>Таблица224627910121314574548[[#This Row],[Столбец3]]*12.7%</f>
        <v>44.170235637000005</v>
      </c>
      <c r="J29" s="205"/>
      <c r="K29" s="232">
        <f>5498.2-Таблица224627910121314574548[[#This Row],[Столбец4]]</f>
        <v>5133.345096</v>
      </c>
      <c r="L29" s="225"/>
      <c r="M29" s="225"/>
      <c r="N29" s="225"/>
    </row>
    <row r="30" spans="1:14" s="133" customFormat="1" ht="42" x14ac:dyDescent="0.2">
      <c r="A30" s="151" t="s">
        <v>103</v>
      </c>
      <c r="B30" s="135">
        <f t="shared" si="3"/>
        <v>11410.431146000001</v>
      </c>
      <c r="C30" s="86">
        <f t="shared" si="3"/>
        <v>9148.97091</v>
      </c>
      <c r="D30" s="240">
        <f t="shared" si="3"/>
        <v>10687.81846</v>
      </c>
      <c r="E30" s="86">
        <f>Таблица224627910121314574548[[#This Row],[Столбец2]]-Таблица224627910121314574548[[#This Row],[Столбец3]]</f>
        <v>-722.61268600000039</v>
      </c>
      <c r="F30" s="135">
        <f>Таблица224627910121314574548[[#This Row],[Столбец2]]*100/Таблица224627910121314574548[[#This Row],[Столбец3]]-100</f>
        <v>-6.332913075360139</v>
      </c>
      <c r="G30" s="135">
        <f t="shared" si="0"/>
        <v>7.9269381680502971</v>
      </c>
      <c r="H30" s="186">
        <f t="shared" si="1"/>
        <v>6.473777641828292</v>
      </c>
      <c r="I30" s="208">
        <f>Таблица224627910121314574548[[#This Row],[Столбец3]]*12.7%</f>
        <v>1449.1247555420002</v>
      </c>
      <c r="J30" s="205"/>
      <c r="K30" s="226">
        <f>5498.2-Таблица224627910121314574548[[#This Row],[Столбец4]]</f>
        <v>-3650.7709100000002</v>
      </c>
      <c r="L30" s="225"/>
      <c r="M30" s="225"/>
      <c r="N30" s="225"/>
    </row>
    <row r="31" spans="1:14" s="133" customFormat="1" ht="21" x14ac:dyDescent="0.2">
      <c r="A31" s="149" t="s">
        <v>36</v>
      </c>
      <c r="B31" s="134">
        <v>6701.9</v>
      </c>
      <c r="C31" s="91">
        <v>4949.2879999999996</v>
      </c>
      <c r="D31" s="245">
        <v>6415.5919999999996</v>
      </c>
      <c r="E31" s="91">
        <f>Таблица224627910121314574548[[#This Row],[Столбец2]]-Таблица224627910121314574548[[#This Row],[Столбец3]]</f>
        <v>-286.30799999999999</v>
      </c>
      <c r="F31" s="134">
        <f>Таблица224627910121314574548[[#This Row],[Столбец2]]*100/Таблица224627910121314574548[[#This Row],[Столбец3]]-100</f>
        <v>-4.2720422566734868</v>
      </c>
      <c r="G31" s="134">
        <f t="shared" si="0"/>
        <v>4.6558755080065302</v>
      </c>
      <c r="H31" s="188">
        <f t="shared" si="1"/>
        <v>3.8860237198202232</v>
      </c>
      <c r="I31" s="205">
        <f>Таблица224627910121314574548[[#This Row],[Столбец3]]*12.7%</f>
        <v>851.1413</v>
      </c>
      <c r="J31" s="205"/>
      <c r="K31" s="226">
        <f>5498.2-Таблица224627910121314574548[[#This Row],[Столбец4]]</f>
        <v>548.91200000000026</v>
      </c>
      <c r="L31" s="225"/>
      <c r="M31" s="225"/>
      <c r="N31" s="225"/>
    </row>
    <row r="32" spans="1:14" s="133" customFormat="1" ht="21" x14ac:dyDescent="0.2">
      <c r="A32" s="149" t="s">
        <v>37</v>
      </c>
      <c r="B32" s="134">
        <v>3792.3989999999999</v>
      </c>
      <c r="C32" s="91">
        <v>4200.6769999999997</v>
      </c>
      <c r="D32" s="245">
        <v>4272.2529999999997</v>
      </c>
      <c r="E32" s="91">
        <f>Таблица224627910121314574548[[#This Row],[Столбец2]]-Таблица224627910121314574548[[#This Row],[Столбец3]]</f>
        <v>479.85399999999981</v>
      </c>
      <c r="F32" s="134">
        <f>Таблица224627910121314574548[[#This Row],[Столбец2]]*100/Таблица224627910121314574548[[#This Row],[Столбец3]]-100</f>
        <v>12.65304626438305</v>
      </c>
      <c r="G32" s="134">
        <f t="shared" si="0"/>
        <v>2.6346166938761333</v>
      </c>
      <c r="H32" s="188">
        <f t="shared" si="1"/>
        <v>2.5877699976982806</v>
      </c>
      <c r="I32" s="205">
        <f>Таблица224627910121314574548[[#This Row],[Столбец3]]*12.7%</f>
        <v>481.63467300000002</v>
      </c>
      <c r="J32" s="205"/>
      <c r="K32" s="225">
        <f>5498.2-Таблица224627910121314574548[[#This Row],[Столбец4]]</f>
        <v>1297.5230000000001</v>
      </c>
      <c r="L32" s="225"/>
      <c r="M32" s="225"/>
      <c r="N32" s="225"/>
    </row>
    <row r="33" spans="1:15" s="133" customFormat="1" ht="25.5" customHeight="1" x14ac:dyDescent="0.2">
      <c r="A33" s="150" t="s">
        <v>29</v>
      </c>
      <c r="B33" s="135">
        <f>B41+B49+B57+B97</f>
        <v>2416.2955010000001</v>
      </c>
      <c r="C33" s="86">
        <f>C41+C49+C57+C97+C142</f>
        <v>2466.2713229999999</v>
      </c>
      <c r="D33" s="240">
        <f>D41+D49+D57+D97</f>
        <v>2498.0216290000003</v>
      </c>
      <c r="E33" s="86">
        <f>Таблица224627910121314574548[[#This Row],[Столбец2]]-Таблица224627910121314574548[[#This Row],[Столбец3]]</f>
        <v>81.726128000000244</v>
      </c>
      <c r="F33" s="135">
        <f>Таблица224627910121314574548[[#This Row],[Столбец2]]*100/Таблица224627910121314574548[[#This Row],[Столбец3]]-100</f>
        <v>3.3822902855291233</v>
      </c>
      <c r="G33" s="135">
        <f t="shared" si="0"/>
        <v>1.6786241279655425</v>
      </c>
      <c r="H33" s="186">
        <f t="shared" si="1"/>
        <v>1.5130904993518846</v>
      </c>
      <c r="I33" s="205">
        <f>Таблица224627910121314574548[[#This Row],[Столбец3]]*12.7%</f>
        <v>306.86952862700002</v>
      </c>
      <c r="J33" s="205"/>
      <c r="K33" s="226">
        <f>5498.2-Таблица224627910121314574548[[#This Row],[Столбец4]]</f>
        <v>3031.9286769999999</v>
      </c>
      <c r="L33" s="225"/>
      <c r="M33" s="225"/>
      <c r="N33" s="225"/>
    </row>
    <row r="34" spans="1:15" s="133" customFormat="1" ht="42" x14ac:dyDescent="0.2">
      <c r="A34" s="151" t="s">
        <v>12</v>
      </c>
      <c r="B34" s="135">
        <f>B35+B40+B41</f>
        <v>1832.5617069999998</v>
      </c>
      <c r="C34" s="166">
        <f>C35+C40+C41</f>
        <v>2076.1047699999999</v>
      </c>
      <c r="D34" s="240">
        <f>D35+D40+D41</f>
        <v>2152.6739499999999</v>
      </c>
      <c r="E34" s="86">
        <f>Таблица224627910121314574548[[#This Row],[Столбец2]]-Таблица224627910121314574548[[#This Row],[Столбец3]]</f>
        <v>320.11224300000003</v>
      </c>
      <c r="F34" s="135">
        <f>Таблица224627910121314574548[[#This Row],[Столбец2]]*100/Таблица224627910121314574548[[#This Row],[Столбец3]]-100</f>
        <v>17.46801986406453</v>
      </c>
      <c r="G34" s="135">
        <f t="shared" si="0"/>
        <v>1.2730985494459688</v>
      </c>
      <c r="H34" s="186">
        <f t="shared" si="1"/>
        <v>1.3039080463251238</v>
      </c>
      <c r="I34" s="205">
        <f>Таблица224627910121314574548[[#This Row],[Столбец3]]*12.7%</f>
        <v>232.73533678899997</v>
      </c>
      <c r="J34" s="205"/>
      <c r="K34" s="225">
        <f>5498.2-Таблица224627910121314574548[[#This Row],[Столбец4]]</f>
        <v>3422.0952299999999</v>
      </c>
      <c r="L34" s="225"/>
      <c r="M34" s="225"/>
      <c r="N34" s="225"/>
      <c r="O34" s="209"/>
    </row>
    <row r="35" spans="1:15" s="133" customFormat="1" ht="36" x14ac:dyDescent="0.2">
      <c r="A35" s="153" t="s">
        <v>27</v>
      </c>
      <c r="B35" s="134">
        <f>B36+B37+B38+B39</f>
        <v>1354.8840029999999</v>
      </c>
      <c r="C35" s="91">
        <f>C36+C37+C38+C39</f>
        <v>1594.3505</v>
      </c>
      <c r="D35" s="245">
        <f>D36+D37+D38+D39</f>
        <v>1634.1937499999999</v>
      </c>
      <c r="E35" s="91">
        <f>Таблица224627910121314574548[[#This Row],[Столбец2]]-Таблица224627910121314574548[[#This Row],[Столбец3]]</f>
        <v>279.30974700000002</v>
      </c>
      <c r="F35" s="134">
        <f>Таблица224627910121314574548[[#This Row],[Столбец2]]*100/Таблица224627910121314574548[[#This Row],[Столбец3]]-100</f>
        <v>20.615030244769969</v>
      </c>
      <c r="G35" s="134">
        <f t="shared" si="0"/>
        <v>0.94125117440689143</v>
      </c>
      <c r="H35" s="188">
        <f t="shared" si="1"/>
        <v>0.9898565362763031</v>
      </c>
      <c r="I35" s="205">
        <f>Таблица224627910121314574548[[#This Row],[Столбец3]]*12.7%</f>
        <v>172.07026838099998</v>
      </c>
      <c r="J35" s="205"/>
      <c r="K35" s="225">
        <f>5498.2-Таблица224627910121314574548[[#This Row],[Столбец4]]</f>
        <v>3903.8494999999998</v>
      </c>
      <c r="L35" s="225"/>
      <c r="M35" s="225" t="s">
        <v>105</v>
      </c>
      <c r="N35" s="252">
        <v>-6</v>
      </c>
    </row>
    <row r="36" spans="1:15" s="133" customFormat="1" ht="36" x14ac:dyDescent="0.2">
      <c r="A36" s="149" t="s">
        <v>33</v>
      </c>
      <c r="B36" s="132">
        <v>589.80052000000001</v>
      </c>
      <c r="C36" s="96">
        <v>825.7</v>
      </c>
      <c r="D36" s="243">
        <v>847.05301999999995</v>
      </c>
      <c r="E36" s="96">
        <f>Таблица224627910121314574548[[#This Row],[Столбец2]]-Таблица224627910121314574548[[#This Row],[Столбец3]]</f>
        <v>257.25249999999994</v>
      </c>
      <c r="F36" s="132">
        <f>Таблица224627910121314574548[[#This Row],[Столбец2]]*100/Таблица224627910121314574548[[#This Row],[Столбец3]]-100</f>
        <v>43.616865580247349</v>
      </c>
      <c r="G36" s="132">
        <f t="shared" si="0"/>
        <v>0.40974019243461046</v>
      </c>
      <c r="H36" s="189">
        <f t="shared" si="1"/>
        <v>0.51307317043623635</v>
      </c>
      <c r="I36" s="205">
        <f>Таблица224627910121314574548[[#This Row],[Столбец3]]*12.7%</f>
        <v>74.904666039999995</v>
      </c>
      <c r="J36" s="205"/>
      <c r="K36" s="225">
        <f>5498.2-Таблица224627910121314574548[[#This Row],[Столбец4]]</f>
        <v>4672.5</v>
      </c>
      <c r="L36" s="225"/>
      <c r="M36" s="225" t="s">
        <v>106</v>
      </c>
      <c r="N36" s="252">
        <v>-9</v>
      </c>
    </row>
    <row r="37" spans="1:15" s="133" customFormat="1" ht="36" x14ac:dyDescent="0.2">
      <c r="A37" s="149" t="s">
        <v>34</v>
      </c>
      <c r="B37" s="132">
        <v>126.17</v>
      </c>
      <c r="C37" s="96">
        <v>121.06100000000001</v>
      </c>
      <c r="D37" s="243">
        <v>135.35059999999999</v>
      </c>
      <c r="E37" s="96">
        <f>Таблица224627910121314574548[[#This Row],[Столбец2]]-Таблица224627910121314574548[[#This Row],[Столбец3]]</f>
        <v>9.1805999999999841</v>
      </c>
      <c r="F37" s="132">
        <f>Таблица224627910121314574548[[#This Row],[Столбец2]]*100/Таблица224627910121314574548[[#This Row],[Столбец3]]-100</f>
        <v>7.2763731473408626</v>
      </c>
      <c r="G37" s="132">
        <f t="shared" si="0"/>
        <v>8.7651533571850362E-2</v>
      </c>
      <c r="H37" s="189">
        <f t="shared" si="1"/>
        <v>8.1983960652719054E-2</v>
      </c>
      <c r="I37" s="205">
        <f>Таблица224627910121314574548[[#This Row],[Столбец3]]*12.7%</f>
        <v>16.023589999999999</v>
      </c>
      <c r="J37" s="205"/>
      <c r="K37" s="225">
        <f>5498.2-Таблица224627910121314574548[[#This Row],[Столбец4]]</f>
        <v>5377.1390000000001</v>
      </c>
      <c r="L37" s="225"/>
      <c r="M37" s="225" t="s">
        <v>107</v>
      </c>
      <c r="N37" s="252">
        <v>-10</v>
      </c>
    </row>
    <row r="38" spans="1:15" s="133" customFormat="1" ht="36" outlineLevel="1" x14ac:dyDescent="0.2">
      <c r="A38" s="149" t="s">
        <v>35</v>
      </c>
      <c r="B38" s="132">
        <v>605.88042299999995</v>
      </c>
      <c r="C38" s="96">
        <v>613.18420000000003</v>
      </c>
      <c r="D38" s="243">
        <f>655.88087-38-2</f>
        <v>615.88086999999996</v>
      </c>
      <c r="E38" s="96">
        <f>Таблица224627910121314574548[[#This Row],[Столбец2]]-Таблица224627910121314574548[[#This Row],[Столбец3]]</f>
        <v>10.000447000000008</v>
      </c>
      <c r="F38" s="132">
        <f>Таблица224627910121314574548[[#This Row],[Столбец2]]*100/Таблица224627910121314574548[[#This Row],[Столбец3]]-100</f>
        <v>1.6505644712009513</v>
      </c>
      <c r="G38" s="132">
        <f t="shared" si="0"/>
        <v>0.42091105839035742</v>
      </c>
      <c r="H38" s="132">
        <f t="shared" si="1"/>
        <v>0.37304860867142353</v>
      </c>
      <c r="I38" s="205">
        <f>Таблица224627910121314574548[[#This Row],[Столбец3]]*12.7%</f>
        <v>76.946813720999998</v>
      </c>
      <c r="J38" s="205"/>
      <c r="K38" s="225">
        <f>5498.2-Таблица224627910121314574548[[#This Row],[Столбец4]]</f>
        <v>4885.0158000000001</v>
      </c>
      <c r="L38" s="225"/>
      <c r="M38" s="225" t="s">
        <v>108</v>
      </c>
      <c r="N38" s="252">
        <v>-9</v>
      </c>
    </row>
    <row r="39" spans="1:15" s="133" customFormat="1" ht="21" outlineLevel="1" x14ac:dyDescent="0.2">
      <c r="A39" s="229" t="s">
        <v>102</v>
      </c>
      <c r="B39" s="199">
        <v>33.033059999999999</v>
      </c>
      <c r="C39" s="243">
        <v>34.405299999999997</v>
      </c>
      <c r="D39" s="243">
        <v>35.909260000000003</v>
      </c>
      <c r="E39" s="243">
        <f>Таблица224627910121314574548[[#This Row],[Столбец2]]-Таблица224627910121314574548[[#This Row],[Столбец3]]</f>
        <v>2.8762000000000043</v>
      </c>
      <c r="F39" s="199">
        <f>Таблица224627910121314574548[[#This Row],[Столбец2]]*100/Таблица224627910121314574548[[#This Row],[Столбец3]]-100</f>
        <v>8.7070347100753196</v>
      </c>
      <c r="G39" s="199">
        <f t="shared" si="0"/>
        <v>2.2948390010073292E-2</v>
      </c>
      <c r="H39" s="230">
        <f t="shared" si="1"/>
        <v>2.1750796515924261E-2</v>
      </c>
      <c r="I39" s="228">
        <f>Таблица224627910121314574548[[#This Row],[Столбец3]]*12.7%</f>
        <v>4.1951986200000002</v>
      </c>
      <c r="J39" s="225"/>
      <c r="K39" s="228">
        <f>5498.2-Таблица224627910121314574548[[#This Row],[Столбец4]]</f>
        <v>5463.7946999999995</v>
      </c>
      <c r="L39" s="225"/>
      <c r="M39" s="225" t="s">
        <v>109</v>
      </c>
      <c r="N39" s="252">
        <v>-4</v>
      </c>
    </row>
    <row r="40" spans="1:15" s="133" customFormat="1" ht="36" x14ac:dyDescent="0.2">
      <c r="A40" s="153" t="s">
        <v>28</v>
      </c>
      <c r="B40" s="134">
        <v>210.25696500000001</v>
      </c>
      <c r="C40" s="91">
        <v>199.26105999999999</v>
      </c>
      <c r="D40" s="245">
        <v>235.04895999999999</v>
      </c>
      <c r="E40" s="91">
        <f>Таблица224627910121314574548[[#This Row],[Столбец2]]-Таблица224627910121314574548[[#This Row],[Столбец3]]</f>
        <v>24.791994999999986</v>
      </c>
      <c r="F40" s="134">
        <f>Таблица224627910121314574548[[#This Row],[Столбец2]]*100/Таблица224627910121314574548[[#This Row],[Столбец3]]-100</f>
        <v>11.791283584826786</v>
      </c>
      <c r="G40" s="134">
        <f t="shared" si="0"/>
        <v>0.1460675709472368</v>
      </c>
      <c r="H40" s="188">
        <f t="shared" si="1"/>
        <v>0.1423728057954862</v>
      </c>
      <c r="I40" s="205">
        <f>Таблица224627910121314574548[[#This Row],[Столбец3]]*12.7%</f>
        <v>26.702634555000003</v>
      </c>
      <c r="J40" s="205"/>
      <c r="K40" s="225">
        <f>5498.2-Таблица224627910121314574548[[#This Row],[Столбец4]]</f>
        <v>5298.93894</v>
      </c>
      <c r="L40" s="225"/>
      <c r="M40" s="225" t="s">
        <v>112</v>
      </c>
      <c r="N40" s="225">
        <v>-2</v>
      </c>
    </row>
    <row r="41" spans="1:15" s="133" customFormat="1" ht="21" x14ac:dyDescent="0.2">
      <c r="A41" s="153" t="s">
        <v>29</v>
      </c>
      <c r="B41" s="134">
        <v>267.42073900000003</v>
      </c>
      <c r="C41" s="91">
        <v>282.49320999999998</v>
      </c>
      <c r="D41" s="245">
        <v>283.43124</v>
      </c>
      <c r="E41" s="91">
        <f>Таблица224627910121314574548[[#This Row],[Столбец2]]-Таблица224627910121314574548[[#This Row],[Столбец3]]</f>
        <v>16.010500999999977</v>
      </c>
      <c r="F41" s="134">
        <f>Таблица224627910121314574548[[#This Row],[Столбец2]]*100/Таблица224627910121314574548[[#This Row],[Столбец3]]-100</f>
        <v>5.9870079859438192</v>
      </c>
      <c r="G41" s="134">
        <f t="shared" si="0"/>
        <v>0.18577980409184067</v>
      </c>
      <c r="H41" s="188">
        <f t="shared" si="1"/>
        <v>0.17167870425333448</v>
      </c>
      <c r="I41" s="205">
        <f>Таблица224627910121314574548[[#This Row],[Столбец3]]*12.7%</f>
        <v>33.962433853</v>
      </c>
      <c r="J41" s="205"/>
      <c r="K41" s="225">
        <f>5498.2-Таблица224627910121314574548[[#This Row],[Столбец4]]</f>
        <v>5215.7067900000002</v>
      </c>
      <c r="L41" s="225"/>
      <c r="M41" s="225"/>
      <c r="N41" s="225"/>
    </row>
    <row r="42" spans="1:15" s="133" customFormat="1" ht="42" x14ac:dyDescent="0.2">
      <c r="A42" s="151" t="s">
        <v>30</v>
      </c>
      <c r="B42" s="135">
        <f>SUM(B43,B48,B49)</f>
        <v>3741.3544199999997</v>
      </c>
      <c r="C42" s="86">
        <f>SUM(C43,C48,C49)</f>
        <v>4399.479875</v>
      </c>
      <c r="D42" s="240">
        <f>SUM(D43,D48,D49)</f>
        <v>4893.7509080000009</v>
      </c>
      <c r="E42" s="86">
        <f>Таблица224627910121314574548[[#This Row],[Столбец2]]-Таблица224627910121314574548[[#This Row],[Столбец3]]</f>
        <v>1152.3964880000012</v>
      </c>
      <c r="F42" s="135">
        <f>Таблица224627910121314574548[[#This Row],[Столбец2]]*100/Таблица224627910121314574548[[#This Row],[Столбец3]]-100</f>
        <v>30.801585699544631</v>
      </c>
      <c r="G42" s="135">
        <f t="shared" si="0"/>
        <v>2.5991555246795648</v>
      </c>
      <c r="H42" s="186">
        <f t="shared" si="1"/>
        <v>2.9642209335287779</v>
      </c>
      <c r="I42" s="205">
        <f>Таблица224627910121314574548[[#This Row],[Столбец3]]*12.7%</f>
        <v>475.15201133999994</v>
      </c>
      <c r="J42" s="205"/>
      <c r="K42" s="225">
        <f>5498.2-Таблица224627910121314574548[[#This Row],[Столбец4]]</f>
        <v>1098.7201249999998</v>
      </c>
      <c r="L42" s="225"/>
      <c r="M42" s="225"/>
      <c r="N42" s="225"/>
    </row>
    <row r="43" spans="1:15" s="133" customFormat="1" ht="21" x14ac:dyDescent="0.2">
      <c r="A43" s="153" t="s">
        <v>27</v>
      </c>
      <c r="B43" s="134">
        <f>B44+B45+B46+B47</f>
        <v>3382.3556499999995</v>
      </c>
      <c r="C43" s="91">
        <f>C44+C45+C46+C47</f>
        <v>3999.375125</v>
      </c>
      <c r="D43" s="245">
        <f>D44+D45+D46+D47</f>
        <v>4478.9858820000009</v>
      </c>
      <c r="E43" s="91">
        <f>Таблица224627910121314574548[[#This Row],[Столбец2]]-Таблица224627910121314574548[[#This Row],[Столбец3]]</f>
        <v>1096.6302320000013</v>
      </c>
      <c r="F43" s="134">
        <f>Таблица224627910121314574548[[#This Row],[Столбец2]]*100/Таблица224627910121314574548[[#This Row],[Столбец3]]-100</f>
        <v>32.42208524109526</v>
      </c>
      <c r="G43" s="134">
        <f t="shared" si="0"/>
        <v>2.3497555663621519</v>
      </c>
      <c r="H43" s="188">
        <f t="shared" si="1"/>
        <v>2.7129913152507061</v>
      </c>
      <c r="I43" s="205">
        <f>Таблица224627910121314574548[[#This Row],[Столбец3]]*12.7%</f>
        <v>429.55916754999993</v>
      </c>
      <c r="J43" s="205"/>
      <c r="K43" s="225">
        <f>5498.2-Таблица224627910121314574548[[#This Row],[Столбец4]]</f>
        <v>1498.8248749999998</v>
      </c>
      <c r="L43" s="225"/>
      <c r="M43" s="225"/>
      <c r="N43" s="225"/>
    </row>
    <row r="44" spans="1:15" s="136" customFormat="1" ht="21" x14ac:dyDescent="0.2">
      <c r="A44" s="149" t="s">
        <v>33</v>
      </c>
      <c r="B44" s="134">
        <f>554.962997+917.169968</f>
        <v>1472.132965</v>
      </c>
      <c r="C44" s="91">
        <v>2093.4499999999998</v>
      </c>
      <c r="D44" s="245">
        <v>2143.4505210000002</v>
      </c>
      <c r="E44" s="91">
        <f>Таблица224627910121314574548[[#This Row],[Столбец2]]-Таблица224627910121314574548[[#This Row],[Столбец3]]</f>
        <v>671.3175560000002</v>
      </c>
      <c r="F44" s="134">
        <f>Таблица224627910121314574548[[#This Row],[Столбец2]]*100/Таблица224627910121314574548[[#This Row],[Столбец3]]-100</f>
        <v>45.601693050871944</v>
      </c>
      <c r="G44" s="134">
        <f t="shared" si="0"/>
        <v>1.0227051755878982</v>
      </c>
      <c r="H44" s="188">
        <f t="shared" si="1"/>
        <v>1.29832127212376</v>
      </c>
      <c r="I44" s="205">
        <f>Таблица224627910121314574548[[#This Row],[Столбец3]]*12.7%</f>
        <v>186.960886555</v>
      </c>
      <c r="J44" s="205"/>
      <c r="K44" s="225">
        <f>5498.2-Таблица224627910121314574548[[#This Row],[Столбец4]]</f>
        <v>3404.75</v>
      </c>
      <c r="L44" s="225"/>
      <c r="M44" s="225"/>
      <c r="N44" s="225"/>
    </row>
    <row r="45" spans="1:15" s="133" customFormat="1" ht="21" x14ac:dyDescent="0.2">
      <c r="A45" s="149" t="s">
        <v>34</v>
      </c>
      <c r="B45" s="154">
        <f>88+120.07</f>
        <v>208.07</v>
      </c>
      <c r="C45" s="99">
        <f>85.81+117.79</f>
        <v>203.60000000000002</v>
      </c>
      <c r="D45" s="246">
        <f>92.2476+124.42</f>
        <v>216.66759999999999</v>
      </c>
      <c r="E45" s="99">
        <f>Таблица224627910121314574548[[#This Row],[Столбец2]]-Таблица224627910121314574548[[#This Row],[Столбец3]]</f>
        <v>8.5975999999999999</v>
      </c>
      <c r="F45" s="154">
        <f>Таблица224627910121314574548[[#This Row],[Столбец2]]*100/Таблица224627910121314574548[[#This Row],[Столбец3]]-100</f>
        <v>4.1320709376652047</v>
      </c>
      <c r="G45" s="154">
        <f t="shared" si="0"/>
        <v>0.14454826496231199</v>
      </c>
      <c r="H45" s="190">
        <f t="shared" si="1"/>
        <v>0.13123893054865712</v>
      </c>
      <c r="I45" s="205">
        <f>Таблица224627910121314574548[[#This Row],[Столбец3]]*12.7%</f>
        <v>26.424889999999998</v>
      </c>
      <c r="J45" s="205"/>
      <c r="K45" s="225">
        <f>5498.2-Таблица224627910121314574548[[#This Row],[Столбец4]]</f>
        <v>5294.5999999999995</v>
      </c>
      <c r="L45" s="225"/>
      <c r="M45" s="225"/>
      <c r="N45" s="225"/>
    </row>
    <row r="46" spans="1:15" s="133" customFormat="1" ht="21" outlineLevel="1" x14ac:dyDescent="0.2">
      <c r="A46" s="149" t="s">
        <v>35</v>
      </c>
      <c r="B46" s="134">
        <v>1581.952685</v>
      </c>
      <c r="C46" s="91">
        <v>1582.0251250000001</v>
      </c>
      <c r="D46" s="245">
        <v>1981.2677610000001</v>
      </c>
      <c r="E46" s="91">
        <f>Таблица224627910121314574548[[#This Row],[Столбец2]]-Таблица224627910121314574548[[#This Row],[Столбец3]]</f>
        <v>399.31507600000009</v>
      </c>
      <c r="F46" s="134">
        <f>Таблица224627910121314574548[[#This Row],[Столбец2]]*100/Таблица224627910121314574548[[#This Row],[Столбец3]]-100</f>
        <v>25.241910190253265</v>
      </c>
      <c r="G46" s="134">
        <f t="shared" si="0"/>
        <v>1.098998009656466</v>
      </c>
      <c r="H46" s="188">
        <f t="shared" si="1"/>
        <v>1.2000846554084339</v>
      </c>
      <c r="I46" s="205">
        <f>Таблица224627910121314574548[[#This Row],[Столбец3]]*12.7%</f>
        <v>200.90799099500001</v>
      </c>
      <c r="J46" s="205"/>
      <c r="K46" s="226">
        <f>5498.2-Таблица224627910121314574548[[#This Row],[Столбец4]]</f>
        <v>3916.1748749999997</v>
      </c>
      <c r="L46" s="225"/>
      <c r="M46" s="225"/>
      <c r="N46" s="225"/>
    </row>
    <row r="47" spans="1:15" s="133" customFormat="1" ht="21" outlineLevel="1" x14ac:dyDescent="0.2">
      <c r="A47" s="229" t="s">
        <v>102</v>
      </c>
      <c r="B47" s="134">
        <v>120.2</v>
      </c>
      <c r="C47" s="247">
        <v>120.3</v>
      </c>
      <c r="D47" s="243">
        <v>137.6</v>
      </c>
      <c r="E47" s="91">
        <f>Таблица224627910121314574548[[#This Row],[Столбец2]]-Таблица224627910121314574548[[#This Row],[Столбец3]]</f>
        <v>17.399999999999991</v>
      </c>
      <c r="F47" s="134">
        <f>Таблица224627910121314574548[[#This Row],[Столбец2]]*100/Таблица224627910121314574548[[#This Row],[Столбец3]]-100</f>
        <v>14.475873544093176</v>
      </c>
      <c r="G47" s="134">
        <f t="shared" si="0"/>
        <v>8.3504116155476052E-2</v>
      </c>
      <c r="H47" s="188">
        <f t="shared" si="1"/>
        <v>8.334645716985474E-2</v>
      </c>
      <c r="I47" s="228">
        <f>Таблица224627910121314574548[[#This Row],[Столбец3]]*12.7%</f>
        <v>15.265400000000001</v>
      </c>
      <c r="J47" s="225"/>
      <c r="K47" s="228">
        <f>5498.2-Таблица224627910121314574548[[#This Row],[Столбец4]]</f>
        <v>5377.9</v>
      </c>
      <c r="L47" s="225"/>
      <c r="M47" s="225"/>
      <c r="N47" s="225"/>
    </row>
    <row r="48" spans="1:15" s="133" customFormat="1" ht="21" x14ac:dyDescent="0.2">
      <c r="A48" s="153" t="s">
        <v>28</v>
      </c>
      <c r="B48" s="134">
        <f>81.257352</f>
        <v>81.257351999999997</v>
      </c>
      <c r="C48" s="91">
        <v>89.469750000000005</v>
      </c>
      <c r="D48" s="245">
        <v>89.469750000000005</v>
      </c>
      <c r="E48" s="91">
        <f>Таблица224627910121314574548[[#This Row],[Столбец2]]-Таблица224627910121314574548[[#This Row],[Столбец3]]</f>
        <v>8.2123980000000074</v>
      </c>
      <c r="F48" s="134">
        <f>Таблица224627910121314574548[[#This Row],[Столбец2]]*100/Таблица224627910121314574548[[#This Row],[Столбец3]]-100</f>
        <v>10.106652257139771</v>
      </c>
      <c r="G48" s="134">
        <f t="shared" si="0"/>
        <v>5.6450277536559103E-2</v>
      </c>
      <c r="H48" s="188">
        <f t="shared" si="1"/>
        <v>5.4193217197475385E-2</v>
      </c>
      <c r="I48" s="205">
        <f>Таблица224627910121314574548[[#This Row],[Столбец3]]*12.7%</f>
        <v>10.319683703999999</v>
      </c>
      <c r="J48" s="205"/>
      <c r="K48" s="225">
        <f>5498.2-Таблица224627910121314574548[[#This Row],[Столбец4]]</f>
        <v>5408.7302499999996</v>
      </c>
      <c r="L48" s="225"/>
      <c r="M48" s="225"/>
      <c r="N48" s="225"/>
    </row>
    <row r="49" spans="1:14" s="133" customFormat="1" ht="21" x14ac:dyDescent="0.2">
      <c r="A49" s="153" t="s">
        <v>29</v>
      </c>
      <c r="B49" s="134">
        <f>0.5867+277.154718</f>
        <v>277.74141800000001</v>
      </c>
      <c r="C49" s="91">
        <v>310.63499999999999</v>
      </c>
      <c r="D49" s="245">
        <v>325.295276</v>
      </c>
      <c r="E49" s="91">
        <f>Таблица224627910121314574548[[#This Row],[Столбец2]]-Таблица224627910121314574548[[#This Row],[Столбец3]]</f>
        <v>47.553857999999991</v>
      </c>
      <c r="F49" s="134">
        <f>Таблица224627910121314574548[[#This Row],[Столбец2]]*100/Таблица224627910121314574548[[#This Row],[Столбец3]]-100</f>
        <v>17.121630019185687</v>
      </c>
      <c r="G49" s="134">
        <f t="shared" si="0"/>
        <v>0.19294968078085381</v>
      </c>
      <c r="H49" s="188">
        <f t="shared" si="1"/>
        <v>0.1970364010805965</v>
      </c>
      <c r="I49" s="205">
        <f>Таблица224627910121314574548[[#This Row],[Столбец3]]*12.7%</f>
        <v>35.273160086000004</v>
      </c>
      <c r="J49" s="205"/>
      <c r="K49" s="225">
        <f>5498.2-Таблица224627910121314574548[[#This Row],[Столбец4]]</f>
        <v>5187.5649999999996</v>
      </c>
      <c r="L49" s="225"/>
      <c r="M49" s="225"/>
      <c r="N49" s="225"/>
    </row>
    <row r="50" spans="1:14" s="133" customFormat="1" ht="21" x14ac:dyDescent="0.2">
      <c r="A50" s="143" t="s">
        <v>31</v>
      </c>
      <c r="B50" s="135">
        <f>SUM(B58,B66,B74,B82)</f>
        <v>18971.108175000001</v>
      </c>
      <c r="C50" s="86">
        <f>SUM(C58,C66,C74,C82)</f>
        <v>21315.030490000001</v>
      </c>
      <c r="D50" s="240">
        <f>SUM(D58,D66,D74,D82)</f>
        <v>23220.878958000001</v>
      </c>
      <c r="E50" s="86">
        <f>Таблица224627910121314574548[[#This Row],[Столбец2]]-Таблица224627910121314574548[[#This Row],[Столбец3]]</f>
        <v>4249.7707829999999</v>
      </c>
      <c r="F50" s="135">
        <f>Таблица224627910121314574548[[#This Row],[Столбец2]]*100/Таблица224627910121314574548[[#This Row],[Столбец3]]-100</f>
        <v>22.401278532586304</v>
      </c>
      <c r="G50" s="135">
        <f t="shared" si="0"/>
        <v>13.179414481225468</v>
      </c>
      <c r="H50" s="186">
        <f t="shared" si="1"/>
        <v>14.065247045925352</v>
      </c>
      <c r="I50" s="205">
        <f>Таблица224627910121314574548[[#This Row],[Столбец3]]*12.7%</f>
        <v>2409.330738225</v>
      </c>
      <c r="J50" s="205"/>
      <c r="K50" s="225">
        <f>5498.2-Таблица224627910121314574548[[#This Row],[Столбец4]]</f>
        <v>-15816.83049</v>
      </c>
      <c r="L50" s="225"/>
      <c r="M50" s="225"/>
      <c r="N50" s="225"/>
    </row>
    <row r="51" spans="1:14" s="133" customFormat="1" ht="21" x14ac:dyDescent="0.2">
      <c r="A51" s="153" t="s">
        <v>27</v>
      </c>
      <c r="B51" s="134">
        <f t="shared" ref="B51:D55" si="4">B59+B67+B75+B83</f>
        <v>15889.678558</v>
      </c>
      <c r="C51" s="91">
        <f t="shared" si="4"/>
        <v>18589.224542</v>
      </c>
      <c r="D51" s="245">
        <f t="shared" si="4"/>
        <v>20442.756509999999</v>
      </c>
      <c r="E51" s="91">
        <f>Таблица224627910121314574548[[#This Row],[Столбец2]]-Таблица224627910121314574548[[#This Row],[Столбец3]]</f>
        <v>4553.0779519999996</v>
      </c>
      <c r="F51" s="134">
        <f>Таблица224627910121314574548[[#This Row],[Столбец2]]*100/Таблица224627910121314574548[[#This Row],[Столбец3]]-100</f>
        <v>28.654311258597829</v>
      </c>
      <c r="G51" s="134">
        <f t="shared" si="0"/>
        <v>11.038715174545834</v>
      </c>
      <c r="H51" s="188">
        <f t="shared" si="1"/>
        <v>12.382495130047126</v>
      </c>
      <c r="I51" s="205">
        <f>Таблица224627910121314574548[[#This Row],[Столбец3]]*12.7%</f>
        <v>2017.989176866</v>
      </c>
      <c r="J51" s="205"/>
      <c r="K51" s="225">
        <f>5498.2-Таблица224627910121314574548[[#This Row],[Столбец4]]</f>
        <v>-13091.024541999999</v>
      </c>
      <c r="L51" s="225"/>
      <c r="M51" s="225"/>
      <c r="N51" s="225"/>
    </row>
    <row r="52" spans="1:14" s="133" customFormat="1" ht="21" x14ac:dyDescent="0.2">
      <c r="A52" s="149" t="s">
        <v>33</v>
      </c>
      <c r="B52" s="132">
        <f t="shared" si="4"/>
        <v>6729.1343310000002</v>
      </c>
      <c r="C52" s="96">
        <f t="shared" si="4"/>
        <v>9279.5338520000005</v>
      </c>
      <c r="D52" s="243">
        <f t="shared" si="4"/>
        <v>9279.252292000001</v>
      </c>
      <c r="E52" s="96">
        <f>Таблица224627910121314574548[[#This Row],[Столбец2]]-Таблица224627910121314574548[[#This Row],[Столбец3]]</f>
        <v>2550.1179610000008</v>
      </c>
      <c r="F52" s="132">
        <f>Таблица224627910121314574548[[#This Row],[Столбец2]]*100/Таблица224627910121314574548[[#This Row],[Столбец3]]-100</f>
        <v>37.896671927799559</v>
      </c>
      <c r="G52" s="132">
        <f t="shared" si="0"/>
        <v>4.6747954642398142</v>
      </c>
      <c r="H52" s="189">
        <f t="shared" si="1"/>
        <v>5.6205872363623159</v>
      </c>
      <c r="I52" s="205">
        <f>Таблица224627910121314574548[[#This Row],[Столбец3]]*12.7%</f>
        <v>854.60006003700005</v>
      </c>
      <c r="J52" s="205"/>
      <c r="K52" s="225">
        <f>5498.2-Таблица224627910121314574548[[#This Row],[Столбец4]]</f>
        <v>-3781.3338520000007</v>
      </c>
      <c r="L52" s="225"/>
      <c r="M52" s="225"/>
      <c r="N52" s="225"/>
    </row>
    <row r="53" spans="1:14" s="133" customFormat="1" ht="21" x14ac:dyDescent="0.2">
      <c r="A53" s="149" t="s">
        <v>34</v>
      </c>
      <c r="B53" s="132">
        <f t="shared" si="4"/>
        <v>1031.248</v>
      </c>
      <c r="C53" s="96">
        <f t="shared" si="4"/>
        <v>970.54199999999992</v>
      </c>
      <c r="D53" s="243">
        <f t="shared" si="4"/>
        <v>1230.3231000000001</v>
      </c>
      <c r="E53" s="96">
        <f>Таблица224627910121314574548[[#This Row],[Столбец2]]-Таблица224627910121314574548[[#This Row],[Столбец3]]</f>
        <v>199.07510000000002</v>
      </c>
      <c r="F53" s="132">
        <f>Таблица224627910121314574548[[#This Row],[Столбец2]]*100/Таблица224627910121314574548[[#This Row],[Столбец3]]-100</f>
        <v>19.304289559834302</v>
      </c>
      <c r="G53" s="132">
        <f t="shared" si="0"/>
        <v>0.71641807634860544</v>
      </c>
      <c r="H53" s="189">
        <f t="shared" si="1"/>
        <v>0.7452258107502393</v>
      </c>
      <c r="I53" s="205">
        <f>Таблица224627910121314574548[[#This Row],[Столбец3]]*12.7%</f>
        <v>130.96849600000002</v>
      </c>
      <c r="J53" s="205"/>
      <c r="K53" s="225">
        <f>5498.2-Таблица224627910121314574548[[#This Row],[Столбец4]]</f>
        <v>4527.6579999999994</v>
      </c>
      <c r="L53" s="225"/>
      <c r="M53" s="225"/>
      <c r="N53" s="225"/>
    </row>
    <row r="54" spans="1:14" s="133" customFormat="1" ht="21" outlineLevel="1" x14ac:dyDescent="0.2">
      <c r="A54" s="149" t="s">
        <v>35</v>
      </c>
      <c r="B54" s="132">
        <f t="shared" si="4"/>
        <v>7985.6803199999995</v>
      </c>
      <c r="C54" s="96">
        <f t="shared" si="4"/>
        <v>8188.8401330000006</v>
      </c>
      <c r="D54" s="243">
        <f t="shared" si="4"/>
        <v>9775.5864959999999</v>
      </c>
      <c r="E54" s="96">
        <f>Таблица224627910121314574548[[#This Row],[Столбец2]]-Таблица224627910121314574548[[#This Row],[Столбец3]]</f>
        <v>1789.9061760000004</v>
      </c>
      <c r="F54" s="132">
        <f>Таблица224627910121314574548[[#This Row],[Столбец2]]*100/Таблица224627910121314574548[[#This Row],[Столбец3]]-100</f>
        <v>22.413947269053722</v>
      </c>
      <c r="G54" s="132">
        <f t="shared" si="0"/>
        <v>5.5477302580846848</v>
      </c>
      <c r="H54" s="189">
        <f t="shared" si="1"/>
        <v>5.9212245726676924</v>
      </c>
      <c r="I54" s="205">
        <f>Таблица224627910121314574548[[#This Row],[Столбец3]]*12.7%</f>
        <v>1014.18140064</v>
      </c>
      <c r="J54" s="205"/>
      <c r="K54" s="225">
        <f>5498.2-Таблица224627910121314574548[[#This Row],[Столбец4]]</f>
        <v>-2690.6401330000008</v>
      </c>
      <c r="L54" s="225"/>
      <c r="M54" s="225"/>
      <c r="N54" s="225"/>
    </row>
    <row r="55" spans="1:14" s="133" customFormat="1" ht="21" outlineLevel="1" x14ac:dyDescent="0.2">
      <c r="A55" s="229" t="s">
        <v>102</v>
      </c>
      <c r="B55" s="132">
        <f t="shared" si="4"/>
        <v>143.61590699999999</v>
      </c>
      <c r="C55" s="96">
        <f t="shared" si="4"/>
        <v>150.30855699999998</v>
      </c>
      <c r="D55" s="243">
        <f t="shared" si="4"/>
        <v>157.59462199999999</v>
      </c>
      <c r="E55" s="96">
        <f>Таблица224627910121314574548[[#This Row],[Столбец2]]-Таблица224627910121314574548[[#This Row],[Столбец3]]</f>
        <v>13.978714999999994</v>
      </c>
      <c r="F55" s="132">
        <f>Таблица224627910121314574548[[#This Row],[Столбец2]]*100/Таблица224627910121314574548[[#This Row],[Столбец3]]-100</f>
        <v>9.7334029997108757</v>
      </c>
      <c r="G55" s="132">
        <f t="shared" si="0"/>
        <v>9.9771375872729162E-2</v>
      </c>
      <c r="H55" s="189">
        <f t="shared" si="1"/>
        <v>9.5457510266878265E-2</v>
      </c>
      <c r="I55" s="232">
        <f>Таблица224627910121314574548[[#This Row],[Столбец3]]*12.7%</f>
        <v>18.239220189000001</v>
      </c>
      <c r="J55" s="205"/>
      <c r="K55" s="232">
        <f>5498.2-Таблица224627910121314574548[[#This Row],[Столбец4]]</f>
        <v>5347.8914429999995</v>
      </c>
      <c r="L55" s="225"/>
      <c r="M55" s="225"/>
      <c r="N55" s="225"/>
    </row>
    <row r="56" spans="1:14" s="133" customFormat="1" ht="21" x14ac:dyDescent="0.2">
      <c r="A56" s="153" t="s">
        <v>28</v>
      </c>
      <c r="B56" s="134">
        <f>B64+B72+B88</f>
        <v>1360.6921130000001</v>
      </c>
      <c r="C56" s="91">
        <f>C64+C72+C80+C88</f>
        <v>1005.1001</v>
      </c>
      <c r="D56" s="245">
        <f>D64+D72+D80+D88</f>
        <v>1046.8197500000001</v>
      </c>
      <c r="E56" s="91">
        <f>Таблица224627910121314574548[[#This Row],[Столбец2]]-Таблица224627910121314574548[[#This Row],[Столбец3]]</f>
        <v>-313.87236299999995</v>
      </c>
      <c r="F56" s="134">
        <f>Таблица224627910121314574548[[#This Row],[Столбец2]]*100/Таблица224627910121314574548[[#This Row],[Столбец3]]-100</f>
        <v>-23.067111215040896</v>
      </c>
      <c r="G56" s="134">
        <f t="shared" si="0"/>
        <v>0.94528612525617417</v>
      </c>
      <c r="H56" s="188">
        <f t="shared" si="1"/>
        <v>0.63407498152567632</v>
      </c>
      <c r="I56" s="205">
        <f>Таблица224627910121314574548[[#This Row],[Столбец3]]*12.7%</f>
        <v>172.80789835100001</v>
      </c>
      <c r="J56" s="205"/>
      <c r="K56" s="225">
        <f>5498.2-Таблица224627910121314574548[[#This Row],[Столбец4]]</f>
        <v>4493.0999000000002</v>
      </c>
      <c r="L56" s="225"/>
      <c r="M56" s="225"/>
      <c r="N56" s="225"/>
    </row>
    <row r="57" spans="1:14" s="133" customFormat="1" ht="21" x14ac:dyDescent="0.2">
      <c r="A57" s="153" t="s">
        <v>29</v>
      </c>
      <c r="B57" s="134">
        <f>B65+B73+B81+B89</f>
        <v>1720.7375039999999</v>
      </c>
      <c r="C57" s="91">
        <f>C65+C73+C81+C89</f>
        <v>1720.7058479999998</v>
      </c>
      <c r="D57" s="245">
        <f>D65+D73+D81+D89</f>
        <v>1731.302698</v>
      </c>
      <c r="E57" s="91">
        <f>Таблица224627910121314574548[[#This Row],[Столбец2]]-Таблица224627910121314574548[[#This Row],[Столбец3]]</f>
        <v>10.56519400000002</v>
      </c>
      <c r="F57" s="134">
        <f>Таблица224627910121314574548[[#This Row],[Столбец2]]*100/Таблица224627910121314574548[[#This Row],[Столбец3]]-100</f>
        <v>0.61399219668545868</v>
      </c>
      <c r="G57" s="134">
        <f t="shared" si="0"/>
        <v>1.1954131814234603</v>
      </c>
      <c r="H57" s="188">
        <f t="shared" si="1"/>
        <v>1.0486769343525506</v>
      </c>
      <c r="I57" s="205">
        <f>Таблица224627910121314574548[[#This Row],[Столбец3]]*12.7%</f>
        <v>218.53366300799999</v>
      </c>
      <c r="J57" s="205"/>
      <c r="K57" s="225">
        <f>5498.2-Таблица224627910121314574548[[#This Row],[Столбец4]]</f>
        <v>3777.4941520000002</v>
      </c>
      <c r="L57" s="225"/>
      <c r="M57" s="225"/>
      <c r="N57" s="225"/>
    </row>
    <row r="58" spans="1:14" s="133" customFormat="1" ht="21" x14ac:dyDescent="0.2">
      <c r="A58" s="151" t="s">
        <v>2</v>
      </c>
      <c r="B58" s="86">
        <f>SUM(B59,B64,B65)</f>
        <v>8231.8673260000014</v>
      </c>
      <c r="C58" s="86">
        <f>SUM(C59,C64,C65)</f>
        <v>9977.585411</v>
      </c>
      <c r="D58" s="240">
        <f>SUM(D59,D64,D65)</f>
        <v>10567.695829999999</v>
      </c>
      <c r="E58" s="86">
        <f>Таблица224627910121314574548[[#This Row],[Столбец2]]-Таблица224627910121314574548[[#This Row],[Столбец3]]</f>
        <v>2335.8285039999973</v>
      </c>
      <c r="F58" s="86">
        <f>Таблица224627910121314574548[[#This Row],[Столбец2]]*100/Таблица224627910121314574548[[#This Row],[Столбец3]]-100</f>
        <v>28.375439150025926</v>
      </c>
      <c r="G58" s="86">
        <f t="shared" si="0"/>
        <v>5.7187587800896189</v>
      </c>
      <c r="H58" s="87">
        <f t="shared" si="1"/>
        <v>6.4010174991217115</v>
      </c>
      <c r="I58" s="205">
        <f>Таблица224627910121314574548[[#This Row],[Столбец3]]*12.7%</f>
        <v>1045.4471504020003</v>
      </c>
      <c r="J58" s="205"/>
      <c r="K58" s="225">
        <f>5498.2-Таблица224627910121314574548[[#This Row],[Столбец4]]</f>
        <v>-4479.3854110000002</v>
      </c>
      <c r="L58" s="225"/>
      <c r="M58" s="225"/>
      <c r="N58" s="225"/>
    </row>
    <row r="59" spans="1:14" s="133" customFormat="1" ht="21" x14ac:dyDescent="0.2">
      <c r="A59" s="153" t="s">
        <v>27</v>
      </c>
      <c r="B59" s="154">
        <f>B60+B61+B62+B63</f>
        <v>6460.2870260000009</v>
      </c>
      <c r="C59" s="99">
        <f>C60+C61+C62+C63</f>
        <v>8215.5161160000007</v>
      </c>
      <c r="D59" s="246">
        <f>D60+D61+D62+D63</f>
        <v>8805.6265349999994</v>
      </c>
      <c r="E59" s="99">
        <f>Таблица224627910121314574548[[#This Row],[Столбец2]]-Таблица224627910121314574548[[#This Row],[Столбец3]]</f>
        <v>2345.3395089999985</v>
      </c>
      <c r="F59" s="154">
        <f>Таблица224627910121314574548[[#This Row],[Столбец2]]*100/Таблица224627910121314574548[[#This Row],[Столбец3]]-100</f>
        <v>36.303952124123441</v>
      </c>
      <c r="G59" s="154">
        <f t="shared" si="0"/>
        <v>4.4880246107888428</v>
      </c>
      <c r="H59" s="190">
        <f t="shared" si="1"/>
        <v>5.333704759106932</v>
      </c>
      <c r="I59" s="205">
        <f>Таблица224627910121314574548[[#This Row],[Столбец3]]*12.7%</f>
        <v>820.45645230200012</v>
      </c>
      <c r="J59" s="205"/>
      <c r="K59" s="225">
        <f>5498.2-Таблица224627910121314574548[[#This Row],[Столбец4]]</f>
        <v>-2717.3161160000009</v>
      </c>
      <c r="L59" s="225"/>
      <c r="M59" s="225"/>
      <c r="N59" s="225"/>
    </row>
    <row r="60" spans="1:14" s="133" customFormat="1" ht="21" x14ac:dyDescent="0.2">
      <c r="A60" s="149" t="s">
        <v>33</v>
      </c>
      <c r="B60" s="132">
        <v>4463.64912</v>
      </c>
      <c r="C60" s="96">
        <v>6207.4430000000002</v>
      </c>
      <c r="D60" s="243">
        <v>6207.2950000000001</v>
      </c>
      <c r="E60" s="96">
        <f>Таблица224627910121314574548[[#This Row],[Столбец2]]-Таблица224627910121314574548[[#This Row],[Столбец3]]</f>
        <v>1743.64588</v>
      </c>
      <c r="F60" s="132">
        <f>Таблица224627910121314574548[[#This Row],[Столбец2]]*100/Таблица224627910121314574548[[#This Row],[Столбец3]]-100</f>
        <v>39.063238017239144</v>
      </c>
      <c r="G60" s="132">
        <f t="shared" si="0"/>
        <v>3.1009407204140471</v>
      </c>
      <c r="H60" s="189">
        <f t="shared" si="1"/>
        <v>3.759854991701697</v>
      </c>
      <c r="I60" s="205">
        <f>Таблица224627910121314574548[[#This Row],[Столбец3]]*12.7%</f>
        <v>566.88343824000003</v>
      </c>
      <c r="J60" s="205"/>
      <c r="K60" s="225">
        <f>5498.2-Таблица224627910121314574548[[#This Row],[Столбец4]]</f>
        <v>-709.24300000000039</v>
      </c>
      <c r="L60" s="225"/>
      <c r="M60" s="225"/>
      <c r="N60" s="225"/>
    </row>
    <row r="61" spans="1:14" s="133" customFormat="1" ht="21" x14ac:dyDescent="0.2">
      <c r="A61" s="149" t="s">
        <v>34</v>
      </c>
      <c r="B61" s="154">
        <v>455.16699999999997</v>
      </c>
      <c r="C61" s="99">
        <v>419.78699999999998</v>
      </c>
      <c r="D61" s="246">
        <v>520.77679999999998</v>
      </c>
      <c r="E61" s="99">
        <f>Таблица224627910121314574548[[#This Row],[Столбец2]]-Таблица224627910121314574548[[#This Row],[Столбец3]]</f>
        <v>65.609800000000007</v>
      </c>
      <c r="F61" s="154">
        <f>Таблица224627910121314574548[[#This Row],[Столбец2]]*100/Таблица224627910121314574548[[#This Row],[Столбец3]]-100</f>
        <v>14.414445686967653</v>
      </c>
      <c r="G61" s="154">
        <f t="shared" si="0"/>
        <v>0.31620896870332416</v>
      </c>
      <c r="H61" s="190">
        <f t="shared" si="1"/>
        <v>0.3154425963390553</v>
      </c>
      <c r="I61" s="205">
        <f>Таблица224627910121314574548[[#This Row],[Столбец3]]*12.7%</f>
        <v>57.806208999999996</v>
      </c>
      <c r="J61" s="205"/>
      <c r="K61" s="225">
        <f>5498.2-Таблица224627910121314574548[[#This Row],[Столбец4]]</f>
        <v>5078.4129999999996</v>
      </c>
      <c r="L61" s="225"/>
      <c r="M61" s="225"/>
      <c r="N61" s="225"/>
    </row>
    <row r="62" spans="1:14" s="136" customFormat="1" ht="21" outlineLevel="1" x14ac:dyDescent="0.2">
      <c r="A62" s="149" t="s">
        <v>95</v>
      </c>
      <c r="B62" s="132">
        <v>1492.11646</v>
      </c>
      <c r="C62" s="96">
        <v>1538.9316700000002</v>
      </c>
      <c r="D62" s="243">
        <f>2123.275322-100</f>
        <v>2023.275322</v>
      </c>
      <c r="E62" s="96">
        <f>Таблица224627910121314574548[[#This Row],[Столбец2]]-Таблица224627910121314574548[[#This Row],[Столбец3]]</f>
        <v>531.158862</v>
      </c>
      <c r="F62" s="132">
        <f>Таблица224627910121314574548[[#This Row],[Столбец2]]*100/Таблица224627910121314574548[[#This Row],[Столбец3]]-100</f>
        <v>35.597681296270935</v>
      </c>
      <c r="G62" s="132">
        <f t="shared" si="0"/>
        <v>1.0365879051026432</v>
      </c>
      <c r="H62" s="189">
        <f t="shared" si="1"/>
        <v>1.2255292875573915</v>
      </c>
      <c r="I62" s="205">
        <f>Таблица224627910121314574548[[#This Row],[Столбец3]]*12.7%</f>
        <v>189.49879042000001</v>
      </c>
      <c r="J62" s="205"/>
      <c r="K62" s="225">
        <f>5498.2-Таблица224627910121314574548[[#This Row],[Столбец4]]</f>
        <v>3959.2683299999999</v>
      </c>
      <c r="L62" s="225"/>
      <c r="M62" s="225" t="s">
        <v>110</v>
      </c>
      <c r="N62" s="225">
        <v>-3.8</v>
      </c>
    </row>
    <row r="63" spans="1:14" s="133" customFormat="1" ht="36" outlineLevel="1" x14ac:dyDescent="0.2">
      <c r="A63" s="229" t="s">
        <v>102</v>
      </c>
      <c r="B63" s="199">
        <v>49.354446000000003</v>
      </c>
      <c r="C63" s="243">
        <v>49.354446000000003</v>
      </c>
      <c r="D63" s="243">
        <v>54.279412999999998</v>
      </c>
      <c r="E63" s="96">
        <f>Таблица224627910121314574548[[#This Row],[Столбец2]]-Таблица224627910121314574548[[#This Row],[Столбец3]]</f>
        <v>4.9249669999999952</v>
      </c>
      <c r="F63" s="132">
        <f>Таблица224627910121314574548[[#This Row],[Столбец2]]*100/Таблица224627910121314574548[[#This Row],[Столбец3]]-100</f>
        <v>9.978770706898402</v>
      </c>
      <c r="G63" s="132">
        <f t="shared" si="0"/>
        <v>3.4287016568828377E-2</v>
      </c>
      <c r="H63" s="189">
        <f t="shared" si="1"/>
        <v>3.2877883508788931E-2</v>
      </c>
      <c r="I63" s="228">
        <f>Таблица224627910121314574548[[#This Row],[Столбец3]]*12.7%</f>
        <v>6.2680146420000007</v>
      </c>
      <c r="J63" s="225"/>
      <c r="K63" s="228">
        <f>5498.2-Таблица224627910121314574548[[#This Row],[Столбец4]]</f>
        <v>5448.8455539999995</v>
      </c>
      <c r="L63" s="225"/>
      <c r="M63" s="225" t="s">
        <v>111</v>
      </c>
      <c r="N63" s="225">
        <f>-46.2-50</f>
        <v>-96.2</v>
      </c>
    </row>
    <row r="64" spans="1:14" s="133" customFormat="1" ht="21" x14ac:dyDescent="0.2">
      <c r="A64" s="153" t="s">
        <v>28</v>
      </c>
      <c r="B64" s="134">
        <v>612.52500499999996</v>
      </c>
      <c r="C64" s="91">
        <f>457.591+145.423</f>
        <v>603.01400000000001</v>
      </c>
      <c r="D64" s="245">
        <f>457.591+145.423</f>
        <v>603.01400000000001</v>
      </c>
      <c r="E64" s="91">
        <f>Таблица224627910121314574548[[#This Row],[Столбец2]]-Таблица224627910121314574548[[#This Row],[Столбец3]]</f>
        <v>-9.5110049999999546</v>
      </c>
      <c r="F64" s="134">
        <f>Таблица224627910121314574548[[#This Row],[Столбец2]]*100/Таблица224627910121314574548[[#This Row],[Столбец3]]-100</f>
        <v>-1.5527537524774147</v>
      </c>
      <c r="G64" s="134">
        <f t="shared" si="0"/>
        <v>0.42552711452290803</v>
      </c>
      <c r="H64" s="188">
        <f t="shared" si="1"/>
        <v>0.36525494566731681</v>
      </c>
      <c r="I64" s="205">
        <f>Таблица224627910121314574548[[#This Row],[Столбец3]]*12.7%</f>
        <v>77.790675634999999</v>
      </c>
      <c r="J64" s="205"/>
      <c r="K64" s="225">
        <f>5498.2-Таблица224627910121314574548[[#This Row],[Столбец4]]</f>
        <v>4895.1859999999997</v>
      </c>
      <c r="L64" s="225"/>
      <c r="M64" s="225"/>
      <c r="N64" s="225"/>
    </row>
    <row r="65" spans="1:15" s="133" customFormat="1" ht="21" x14ac:dyDescent="0.2">
      <c r="A65" s="153" t="s">
        <v>29</v>
      </c>
      <c r="B65" s="134">
        <v>1159.0552949999999</v>
      </c>
      <c r="C65" s="134">
        <v>1159.0552949999999</v>
      </c>
      <c r="D65" s="134">
        <v>1159.0552949999999</v>
      </c>
      <c r="E65" s="91">
        <f>Таблица224627910121314574548[[#This Row],[Столбец2]]-Таблица224627910121314574548[[#This Row],[Столбец3]]</f>
        <v>0</v>
      </c>
      <c r="F65" s="134">
        <f>Таблица224627910121314574548[[#This Row],[Столбец2]]*100/Таблица224627910121314574548[[#This Row],[Столбец3]]-100</f>
        <v>0</v>
      </c>
      <c r="G65" s="134">
        <f t="shared" si="0"/>
        <v>0.80520705477786647</v>
      </c>
      <c r="H65" s="188">
        <f t="shared" si="1"/>
        <v>0.70205779434746263</v>
      </c>
      <c r="I65" s="205">
        <f>Таблица224627910121314574548[[#This Row],[Столбец3]]*12.7%</f>
        <v>147.20002246499999</v>
      </c>
      <c r="J65" s="205"/>
      <c r="K65" s="225">
        <f>5498.2-Таблица224627910121314574548[[#This Row],[Столбец4]]</f>
        <v>4339.1447049999997</v>
      </c>
      <c r="L65" s="225"/>
      <c r="M65" s="225"/>
      <c r="N65" s="225"/>
    </row>
    <row r="66" spans="1:15" s="133" customFormat="1" ht="21" x14ac:dyDescent="0.2">
      <c r="A66" s="151" t="s">
        <v>47</v>
      </c>
      <c r="B66" s="86">
        <f>SUM(B67,B72,B73)</f>
        <v>3488.9271859999999</v>
      </c>
      <c r="C66" s="86">
        <f>SUM(C67,C72,C73)</f>
        <v>4038.4041130000001</v>
      </c>
      <c r="D66" s="240">
        <f>SUM(D67,D72,D73)</f>
        <v>4077.808113</v>
      </c>
      <c r="E66" s="86">
        <f>Таблица224627910121314574548[[#This Row],[Столбец2]]-Таблица224627910121314574548[[#This Row],[Столбец3]]</f>
        <v>588.88092700000016</v>
      </c>
      <c r="F66" s="86">
        <f>Таблица224627910121314574548[[#This Row],[Столбец2]]*100/Таблица224627910121314574548[[#This Row],[Столбец3]]-100</f>
        <v>16.878567410721544</v>
      </c>
      <c r="G66" s="86">
        <f t="shared" si="0"/>
        <v>2.4237918552224809</v>
      </c>
      <c r="H66" s="87">
        <f t="shared" si="1"/>
        <v>2.4699917095715169</v>
      </c>
      <c r="I66" s="205">
        <f>Таблица224627910121314574548[[#This Row],[Столбец3]]*12.7%</f>
        <v>443.09375262200001</v>
      </c>
      <c r="J66" s="205"/>
      <c r="K66" s="225">
        <f>5498.2-Таблица224627910121314574548[[#This Row],[Столбец4]]</f>
        <v>1459.7958869999998</v>
      </c>
      <c r="L66" s="225"/>
      <c r="M66" s="225"/>
      <c r="N66" s="225"/>
    </row>
    <row r="67" spans="1:15" s="133" customFormat="1" ht="21" x14ac:dyDescent="0.2">
      <c r="A67" s="153" t="s">
        <v>27</v>
      </c>
      <c r="B67" s="134">
        <f>SUM(B68:B71)</f>
        <v>2773.984019</v>
      </c>
      <c r="C67" s="91">
        <f>SUM(C68:C71)</f>
        <v>3458.3</v>
      </c>
      <c r="D67" s="245">
        <f>SUM(D68:D71)</f>
        <v>3461.9490000000001</v>
      </c>
      <c r="E67" s="91">
        <f>Таблица224627910121314574548[[#This Row],[Столбец2]]-Таблица224627910121314574548[[#This Row],[Столбец3]]</f>
        <v>687.96498100000008</v>
      </c>
      <c r="F67" s="134">
        <f>Таблица224627910121314574548[[#This Row],[Столбец2]]*100/Таблица224627910121314574548[[#This Row],[Столбец3]]-100</f>
        <v>24.800610828609109</v>
      </c>
      <c r="G67" s="134">
        <f t="shared" si="0"/>
        <v>1.927113841397756</v>
      </c>
      <c r="H67" s="188">
        <f t="shared" si="1"/>
        <v>2.0969562794529177</v>
      </c>
      <c r="I67" s="205">
        <f>Таблица224627910121314574548[[#This Row],[Столбец3]]*12.7%</f>
        <v>352.29597041300002</v>
      </c>
      <c r="J67" s="205"/>
      <c r="K67" s="225">
        <f>5498.2-Таблица224627910121314574548[[#This Row],[Столбец4]]</f>
        <v>2039.8999999999996</v>
      </c>
      <c r="L67" s="225"/>
      <c r="M67" s="225"/>
      <c r="N67" s="225"/>
    </row>
    <row r="68" spans="1:15" s="133" customFormat="1" ht="21" x14ac:dyDescent="0.2">
      <c r="A68" s="149" t="s">
        <v>33</v>
      </c>
      <c r="B68" s="134">
        <v>1910.3815689999999</v>
      </c>
      <c r="C68" s="91">
        <v>2572.8000000000002</v>
      </c>
      <c r="D68" s="245">
        <v>2572.8000000000002</v>
      </c>
      <c r="E68" s="91">
        <f>Таблица224627910121314574548[[#This Row],[Столбец2]]-Таблица224627910121314574548[[#This Row],[Столбец3]]</f>
        <v>662.41843100000028</v>
      </c>
      <c r="F68" s="134">
        <f>Таблица224627910121314574548[[#This Row],[Столбец2]]*100/Таблица224627910121314574548[[#This Row],[Столбец3]]-100</f>
        <v>34.67466613733859</v>
      </c>
      <c r="G68" s="134">
        <f t="shared" si="0"/>
        <v>1.3271607690437319</v>
      </c>
      <c r="H68" s="188">
        <f t="shared" si="1"/>
        <v>1.5583849201061215</v>
      </c>
      <c r="I68" s="205">
        <f>Таблица224627910121314574548[[#This Row],[Столбец3]]*12.7%</f>
        <v>242.61845926299998</v>
      </c>
      <c r="J68" s="205"/>
      <c r="K68" s="225">
        <f>5498.2-Таблица224627910121314574548[[#This Row],[Столбец4]]</f>
        <v>2925.3999999999996</v>
      </c>
      <c r="L68" s="225"/>
      <c r="M68" s="225"/>
      <c r="N68" s="225"/>
      <c r="O68" s="210"/>
    </row>
    <row r="69" spans="1:15" s="133" customFormat="1" ht="21" x14ac:dyDescent="0.2">
      <c r="A69" s="149" t="s">
        <v>34</v>
      </c>
      <c r="B69" s="154">
        <v>93.156999999999996</v>
      </c>
      <c r="C69" s="99">
        <v>78.3</v>
      </c>
      <c r="D69" s="246">
        <v>103.949</v>
      </c>
      <c r="E69" s="99">
        <f>Таблица224627910121314574548[[#This Row],[Столбец2]]-Таблица224627910121314574548[[#This Row],[Столбец3]]</f>
        <v>10.792000000000002</v>
      </c>
      <c r="F69" s="154">
        <f>Таблица224627910121314574548[[#This Row],[Столбец2]]*100/Таблица224627910121314574548[[#This Row],[Столбец3]]-100</f>
        <v>11.58474403426473</v>
      </c>
      <c r="G69" s="154">
        <f t="shared" si="0"/>
        <v>6.4717079440063913E-2</v>
      </c>
      <c r="H69" s="190">
        <f t="shared" si="1"/>
        <v>6.2963523810677546E-2</v>
      </c>
      <c r="I69" s="205">
        <f>Таблица224627910121314574548[[#This Row],[Столбец3]]*12.7%</f>
        <v>11.830938999999999</v>
      </c>
      <c r="J69" s="205"/>
      <c r="K69" s="225">
        <f>5498.2-Таблица224627910121314574548[[#This Row],[Столбец4]]</f>
        <v>5419.9</v>
      </c>
      <c r="L69" s="225"/>
      <c r="M69" s="225"/>
      <c r="N69" s="225"/>
    </row>
    <row r="70" spans="1:15" s="133" customFormat="1" ht="36" outlineLevel="1" x14ac:dyDescent="0.2">
      <c r="A70" s="149" t="s">
        <v>35</v>
      </c>
      <c r="B70" s="132">
        <v>701.47239200000001</v>
      </c>
      <c r="C70" s="96">
        <v>733.406432</v>
      </c>
      <c r="D70" s="243">
        <f>768.480452-57.2</f>
        <v>711.28045199999997</v>
      </c>
      <c r="E70" s="96">
        <f>Таблица224627910121314574548[[#This Row],[Столбец2]]-Таблица224627910121314574548[[#This Row],[Столбец3]]</f>
        <v>9.8080599999999549</v>
      </c>
      <c r="F70" s="132">
        <f>Таблица224627910121314574548[[#This Row],[Столбец2]]*100/Таблица224627910121314574548[[#This Row],[Столбец3]]-100</f>
        <v>1.3982104088281631</v>
      </c>
      <c r="G70" s="132">
        <f t="shared" si="0"/>
        <v>0.4873197346208622</v>
      </c>
      <c r="H70" s="189">
        <f t="shared" si="1"/>
        <v>0.43083361721201258</v>
      </c>
      <c r="I70" s="205">
        <f>Таблица224627910121314574548[[#This Row],[Столбец3]]*12.7%</f>
        <v>89.086993784000001</v>
      </c>
      <c r="J70" s="205"/>
      <c r="K70" s="225">
        <f>5498.2-Таблица224627910121314574548[[#This Row],[Столбец4]]</f>
        <v>4764.7935680000001</v>
      </c>
      <c r="L70" s="225"/>
      <c r="M70" s="225" t="s">
        <v>112</v>
      </c>
      <c r="N70" s="225">
        <v>-32.200000000000003</v>
      </c>
    </row>
    <row r="71" spans="1:15" s="133" customFormat="1" ht="36" outlineLevel="1" x14ac:dyDescent="0.2">
      <c r="A71" s="229" t="s">
        <v>102</v>
      </c>
      <c r="B71" s="199">
        <v>68.973057999999995</v>
      </c>
      <c r="C71" s="243">
        <v>73.793567999999993</v>
      </c>
      <c r="D71" s="243">
        <v>73.919547999999992</v>
      </c>
      <c r="E71" s="96">
        <f>Таблица224627910121314574548[[#This Row],[Столбец2]]-Таблица224627910121314574548[[#This Row],[Столбец3]]</f>
        <v>4.9464899999999972</v>
      </c>
      <c r="F71" s="132">
        <f>Таблица224627910121314574548[[#This Row],[Столбец2]]*100/Таблица224627910121314574548[[#This Row],[Столбец3]]-100</f>
        <v>7.1716263472035706</v>
      </c>
      <c r="G71" s="132">
        <f t="shared" si="0"/>
        <v>4.7916258293098056E-2</v>
      </c>
      <c r="H71" s="189">
        <f t="shared" si="1"/>
        <v>4.477421832410626E-2</v>
      </c>
      <c r="I71" s="228">
        <f>Таблица224627910121314574548[[#This Row],[Столбец3]]*12.7%</f>
        <v>8.7595783659999995</v>
      </c>
      <c r="J71" s="225"/>
      <c r="K71" s="228">
        <f>5498.2-Таблица224627910121314574548[[#This Row],[Столбец4]]</f>
        <v>5424.4064319999998</v>
      </c>
      <c r="L71" s="226">
        <f>C74-5742</f>
        <v>9</v>
      </c>
      <c r="M71" s="225" t="s">
        <v>113</v>
      </c>
      <c r="N71" s="225">
        <v>-20</v>
      </c>
    </row>
    <row r="72" spans="1:15" s="133" customFormat="1" ht="21" x14ac:dyDescent="0.2">
      <c r="A72" s="153" t="s">
        <v>28</v>
      </c>
      <c r="B72" s="134">
        <v>368.03905400000002</v>
      </c>
      <c r="C72" s="91">
        <v>233.2</v>
      </c>
      <c r="D72" s="245">
        <v>268.95499999999998</v>
      </c>
      <c r="E72" s="91">
        <f>Таблица224627910121314574548[[#This Row],[Столбец2]]-Таблица224627910121314574548[[#This Row],[Столбец3]]</f>
        <v>-99.084054000000037</v>
      </c>
      <c r="F72" s="134">
        <f>Таблица224627910121314574548[[#This Row],[Столбец2]]*100/Таблица224627910121314574548[[#This Row],[Столбец3]]-100</f>
        <v>-26.922157559941994</v>
      </c>
      <c r="G72" s="134">
        <f t="shared" si="0"/>
        <v>0.25568033207127727</v>
      </c>
      <c r="H72" s="188">
        <f t="shared" si="1"/>
        <v>0.16291022084388285</v>
      </c>
      <c r="I72" s="205">
        <f>Таблица224627910121314574548[[#This Row],[Столбец3]]*12.7%</f>
        <v>46.740959858000004</v>
      </c>
      <c r="J72" s="205"/>
      <c r="K72" s="225">
        <f>5498.2-Таблица224627910121314574548[[#This Row],[Столбец4]]</f>
        <v>5265</v>
      </c>
      <c r="L72" s="225"/>
      <c r="M72" s="225" t="s">
        <v>114</v>
      </c>
      <c r="N72" s="225">
        <v>-5</v>
      </c>
    </row>
    <row r="73" spans="1:15" s="133" customFormat="1" ht="21" x14ac:dyDescent="0.2">
      <c r="A73" s="153" t="s">
        <v>29</v>
      </c>
      <c r="B73" s="134">
        <v>346.904113</v>
      </c>
      <c r="C73" s="134">
        <v>346.904113</v>
      </c>
      <c r="D73" s="134">
        <v>346.904113</v>
      </c>
      <c r="E73" s="91">
        <f>Таблица224627910121314574548[[#This Row],[Столбец2]]-Таблица224627910121314574548[[#This Row],[Столбец3]]</f>
        <v>0</v>
      </c>
      <c r="F73" s="134">
        <f>Таблица224627910121314574548[[#This Row],[Столбец2]]*100/Таблица224627910121314574548[[#This Row],[Столбец3]]-100</f>
        <v>0</v>
      </c>
      <c r="G73" s="134">
        <f t="shared" si="0"/>
        <v>0.24099768175344749</v>
      </c>
      <c r="H73" s="188">
        <f t="shared" si="1"/>
        <v>0.2101252092747162</v>
      </c>
      <c r="I73" s="207">
        <f>Таблица224627910121314574548[[#This Row],[Столбец3]]*12.7%</f>
        <v>44.056822351000001</v>
      </c>
      <c r="J73" s="205"/>
      <c r="K73" s="225">
        <f>5498.2-Таблица224627910121314574548[[#This Row],[Столбец4]]</f>
        <v>5151.2958870000002</v>
      </c>
      <c r="L73" s="225"/>
      <c r="M73" s="225"/>
      <c r="N73" s="225"/>
    </row>
    <row r="74" spans="1:15" s="133" customFormat="1" ht="21" x14ac:dyDescent="0.2">
      <c r="A74" s="151" t="s">
        <v>3</v>
      </c>
      <c r="B74" s="86">
        <f>SUM(B75,B80,B81)</f>
        <v>5533.583568</v>
      </c>
      <c r="C74" s="86">
        <f>SUM(C75,C80,C81)</f>
        <v>5751</v>
      </c>
      <c r="D74" s="240">
        <f>SUM(D75,D80,D81)</f>
        <v>6865.5</v>
      </c>
      <c r="E74" s="86">
        <f>Таблица224627910121314574548[[#This Row],[Столбец2]]-Таблица224627910121314574548[[#This Row],[Столбец3]]</f>
        <v>1331.916432</v>
      </c>
      <c r="F74" s="86">
        <f>Таблица224627910121314574548[[#This Row],[Столбец2]]*100/Таблица224627910121314574548[[#This Row],[Столбец3]]-100</f>
        <v>24.069690384768037</v>
      </c>
      <c r="G74" s="86">
        <f t="shared" si="0"/>
        <v>3.8442346507346556</v>
      </c>
      <c r="H74" s="87">
        <f t="shared" si="1"/>
        <v>4.1585399832822514</v>
      </c>
      <c r="I74" s="205">
        <f>Таблица224627910121314574548[[#This Row],[Столбец3]]*12.7%</f>
        <v>702.76511313599997</v>
      </c>
      <c r="J74" s="205"/>
      <c r="K74" s="225">
        <f>5498.2-Таблица224627910121314574548[[#This Row],[Столбец4]]</f>
        <v>-252.80000000000018</v>
      </c>
      <c r="L74" s="225"/>
      <c r="M74" s="225"/>
      <c r="N74" s="225"/>
    </row>
    <row r="75" spans="1:15" s="133" customFormat="1" ht="21" x14ac:dyDescent="0.2">
      <c r="A75" s="153" t="s">
        <v>27</v>
      </c>
      <c r="B75" s="154">
        <f>B76+B77+B78+B79</f>
        <v>5355.0372319999997</v>
      </c>
      <c r="C75" s="99">
        <f>C76+C77+C78+C79</f>
        <v>5518.8</v>
      </c>
      <c r="D75" s="246">
        <f>D76+D77+D78+D79</f>
        <v>6622.7</v>
      </c>
      <c r="E75" s="99">
        <f>Таблица224627910121314574548[[#This Row],[Столбец2]]-Таблица224627910121314574548[[#This Row],[Столбец3]]</f>
        <v>1267.6627680000001</v>
      </c>
      <c r="F75" s="154">
        <f>Таблица224627910121314574548[[#This Row],[Столбец2]]*100/Таблица224627910121314574548[[#This Row],[Столбец3]]-100</f>
        <v>23.672342750949525</v>
      </c>
      <c r="G75" s="154">
        <f t="shared" si="0"/>
        <v>3.7201967640418214</v>
      </c>
      <c r="H75" s="190">
        <f t="shared" si="1"/>
        <v>4.0114722521714903</v>
      </c>
      <c r="I75" s="205">
        <f>Таблица224627910121314574548[[#This Row],[Столбец3]]*12.7%</f>
        <v>680.08972846400002</v>
      </c>
      <c r="J75" s="205"/>
      <c r="K75" s="225">
        <f>5498.2-Таблица224627910121314574548[[#This Row],[Столбец4]]</f>
        <v>-20.600000000000364</v>
      </c>
      <c r="L75" s="225"/>
      <c r="M75" s="225"/>
      <c r="N75" s="225"/>
    </row>
    <row r="76" spans="1:15" s="133" customFormat="1" ht="21" x14ac:dyDescent="0.2">
      <c r="A76" s="149" t="s">
        <v>33</v>
      </c>
      <c r="B76" s="134">
        <v>100.686148</v>
      </c>
      <c r="C76" s="91">
        <v>141.1</v>
      </c>
      <c r="D76" s="245">
        <v>141.1</v>
      </c>
      <c r="E76" s="91">
        <f>Таблица224627910121314574548[[#This Row],[Столбец2]]-Таблица224627910121314574548[[#This Row],[Столбец3]]</f>
        <v>40.413851999999991</v>
      </c>
      <c r="F76" s="134">
        <f>Таблица224627910121314574548[[#This Row],[Столбец2]]*100/Таблица224627910121314574548[[#This Row],[Столбец3]]-100</f>
        <v>40.138442876968526</v>
      </c>
      <c r="G76" s="134">
        <f t="shared" si="0"/>
        <v>6.9947652228281643E-2</v>
      </c>
      <c r="H76" s="188">
        <f t="shared" si="1"/>
        <v>8.5466461531006579E-2</v>
      </c>
      <c r="I76" s="205">
        <f>Таблица224627910121314574548[[#This Row],[Столбец3]]*12.7%</f>
        <v>12.787140796000001</v>
      </c>
      <c r="J76" s="205"/>
      <c r="K76" s="225">
        <f>5498.2-Таблица224627910121314574548[[#This Row],[Столбец4]]</f>
        <v>5357.0999999999995</v>
      </c>
      <c r="L76" s="225"/>
      <c r="M76" s="225"/>
      <c r="N76" s="225"/>
    </row>
    <row r="77" spans="1:15" s="133" customFormat="1" ht="21" x14ac:dyDescent="0.2">
      <c r="A77" s="149" t="s">
        <v>34</v>
      </c>
      <c r="B77" s="154">
        <v>22.5</v>
      </c>
      <c r="C77" s="99">
        <v>22.4</v>
      </c>
      <c r="D77" s="246">
        <v>25.9</v>
      </c>
      <c r="E77" s="99">
        <f>Таблица224627910121314574548[[#This Row],[Столбец2]]-Таблица224627910121314574548[[#This Row],[Столбец3]]</f>
        <v>3.3999999999999986</v>
      </c>
      <c r="F77" s="154">
        <f>Таблица224627910121314574548[[#This Row],[Столбец2]]*100/Таблица224627910121314574548[[#This Row],[Столбец3]]-100</f>
        <v>15.111111111111114</v>
      </c>
      <c r="G77" s="154">
        <f t="shared" si="0"/>
        <v>1.5630970162214736E-2</v>
      </c>
      <c r="H77" s="190">
        <f t="shared" si="1"/>
        <v>1.5688032272523533E-2</v>
      </c>
      <c r="I77" s="205">
        <f>Таблица224627910121314574548[[#This Row],[Столбец3]]*12.7%</f>
        <v>2.8574999999999999</v>
      </c>
      <c r="J77" s="205"/>
      <c r="K77" s="225">
        <f>5498.2-Таблица224627910121314574548[[#This Row],[Столбец4]]</f>
        <v>5475.8</v>
      </c>
      <c r="L77" s="225"/>
      <c r="M77" s="225"/>
      <c r="N77" s="225"/>
    </row>
    <row r="78" spans="1:15" s="133" customFormat="1" ht="21" outlineLevel="1" x14ac:dyDescent="0.2">
      <c r="A78" s="149" t="s">
        <v>95</v>
      </c>
      <c r="B78" s="155">
        <v>5224.8510839999999</v>
      </c>
      <c r="C78" s="93">
        <v>5348.2</v>
      </c>
      <c r="D78" s="244">
        <v>6448.2</v>
      </c>
      <c r="E78" s="93">
        <f>Таблица224627910121314574548[[#This Row],[Столбец2]]-Таблица224627910121314574548[[#This Row],[Столбец3]]</f>
        <v>1223.3489159999999</v>
      </c>
      <c r="F78" s="155">
        <f>Таблица224627910121314574548[[#This Row],[Столбец2]]*100/Таблица224627910121314574548[[#This Row],[Столбец3]]-100</f>
        <v>23.414043698704589</v>
      </c>
      <c r="G78" s="155">
        <f t="shared" si="0"/>
        <v>3.6297551731564139</v>
      </c>
      <c r="H78" s="191">
        <f t="shared" si="1"/>
        <v>3.9057748918797777</v>
      </c>
      <c r="I78" s="205">
        <f>Таблица224627910121314574548[[#This Row],[Столбец3]]*12.7%</f>
        <v>663.55608766800003</v>
      </c>
      <c r="J78" s="205"/>
      <c r="K78" s="225">
        <f>5498.2-Таблица224627910121314574548[[#This Row],[Столбец4]]</f>
        <v>150</v>
      </c>
      <c r="L78" s="225"/>
      <c r="M78" s="225"/>
      <c r="N78" s="225"/>
    </row>
    <row r="79" spans="1:15" s="133" customFormat="1" ht="21" outlineLevel="1" x14ac:dyDescent="0.2">
      <c r="A79" s="229" t="s">
        <v>102</v>
      </c>
      <c r="B79" s="231">
        <v>7</v>
      </c>
      <c r="C79" s="244">
        <v>7.1</v>
      </c>
      <c r="D79" s="244">
        <v>7.5</v>
      </c>
      <c r="E79" s="93">
        <f>Таблица224627910121314574548[[#This Row],[Столбец2]]-Таблица224627910121314574548[[#This Row],[Столбец3]]</f>
        <v>0.5</v>
      </c>
      <c r="F79" s="155">
        <f>Таблица224627910121314574548[[#This Row],[Столбец2]]*100/Таблица224627910121314574548[[#This Row],[Столбец3]]-100</f>
        <v>7.1428571428571388</v>
      </c>
      <c r="G79" s="155">
        <f t="shared" si="0"/>
        <v>4.8629684949112505E-3</v>
      </c>
      <c r="H79" s="191">
        <f t="shared" si="1"/>
        <v>4.5428664881824905E-3</v>
      </c>
      <c r="I79" s="228">
        <f>Таблица224627910121314574548[[#This Row],[Столбец3]]*12.7%</f>
        <v>0.88900000000000001</v>
      </c>
      <c r="J79" s="225"/>
      <c r="K79" s="228">
        <f>5498.2-Таблица224627910121314574548[[#This Row],[Столбец4]]</f>
        <v>5491.0999999999995</v>
      </c>
      <c r="L79" s="225"/>
      <c r="M79" s="225"/>
      <c r="N79" s="225"/>
    </row>
    <row r="80" spans="1:15" s="136" customFormat="1" ht="21" x14ac:dyDescent="0.2">
      <c r="A80" s="153" t="s">
        <v>28</v>
      </c>
      <c r="B80" s="134">
        <v>0</v>
      </c>
      <c r="C80" s="91">
        <v>53.7</v>
      </c>
      <c r="D80" s="245">
        <v>53.7</v>
      </c>
      <c r="E80" s="91">
        <f>Таблица224627910121314574548[[#This Row],[Столбец2]]-Таблица224627910121314574548[[#This Row],[Столбец3]]</f>
        <v>53.7</v>
      </c>
      <c r="F80" s="134"/>
      <c r="G80" s="134">
        <f t="shared" si="0"/>
        <v>0</v>
      </c>
      <c r="H80" s="188">
        <f t="shared" si="1"/>
        <v>3.2526924055386632E-2</v>
      </c>
      <c r="I80" s="205">
        <f>Таблица224627910121314574548[[#This Row],[Столбец3]]*12.7%</f>
        <v>0</v>
      </c>
      <c r="J80" s="205"/>
      <c r="K80" s="225">
        <f>5498.2-Таблица224627910121314574548[[#This Row],[Столбец4]]</f>
        <v>5444.5</v>
      </c>
      <c r="L80" s="225"/>
      <c r="M80" s="225"/>
      <c r="N80" s="225"/>
    </row>
    <row r="81" spans="1:14" s="133" customFormat="1" ht="21" x14ac:dyDescent="0.2">
      <c r="A81" s="153" t="s">
        <v>29</v>
      </c>
      <c r="B81" s="134">
        <v>178.546336</v>
      </c>
      <c r="C81" s="91">
        <v>178.5</v>
      </c>
      <c r="D81" s="245">
        <v>189.1</v>
      </c>
      <c r="E81" s="91">
        <f>Таблица224627910121314574548[[#This Row],[Столбец2]]-Таблица224627910121314574548[[#This Row],[Столбец3]]</f>
        <v>10.553663999999998</v>
      </c>
      <c r="F81" s="134">
        <f>Таблица224627910121314574548[[#This Row],[Столбец2]]*100/Таблица224627910121314574548[[#This Row],[Столбец3]]-100</f>
        <v>5.9108824277413419</v>
      </c>
      <c r="G81" s="134">
        <f t="shared" si="0"/>
        <v>0.12403788669283407</v>
      </c>
      <c r="H81" s="188">
        <f t="shared" si="1"/>
        <v>0.11454080705537451</v>
      </c>
      <c r="I81" s="205">
        <f>Таблица224627910121314574548[[#This Row],[Столбец3]]*12.7%</f>
        <v>22.675384672</v>
      </c>
      <c r="J81" s="205"/>
      <c r="K81" s="225">
        <f>5498.2-Таблица224627910121314574548[[#This Row],[Столбец4]]</f>
        <v>5319.7</v>
      </c>
      <c r="L81" s="225"/>
      <c r="M81" s="225"/>
      <c r="N81" s="225"/>
    </row>
    <row r="82" spans="1:14" s="133" customFormat="1" ht="21" x14ac:dyDescent="0.2">
      <c r="A82" s="151" t="s">
        <v>10</v>
      </c>
      <c r="B82" s="135">
        <f>SUM(B83,B88,B89)</f>
        <v>1716.7300949999999</v>
      </c>
      <c r="C82" s="86">
        <f>SUM(C83,C88,C89)</f>
        <v>1548.0409659999998</v>
      </c>
      <c r="D82" s="240">
        <f>SUM(D83,D88,D89)</f>
        <v>1709.8750150000001</v>
      </c>
      <c r="E82" s="86">
        <f>Таблица224627910121314574548[[#This Row],[Столбец2]]-Таблица224627910121314574548[[#This Row],[Столбец3]]</f>
        <v>-6.8550799999998162</v>
      </c>
      <c r="F82" s="135">
        <f>Таблица224627910121314574548[[#This Row],[Столбец2]]*100/Таблица224627910121314574548[[#This Row],[Столбец3]]-100</f>
        <v>-0.39931029460980483</v>
      </c>
      <c r="G82" s="135">
        <f t="shared" si="0"/>
        <v>1.192629195178714</v>
      </c>
      <c r="H82" s="186">
        <f t="shared" si="1"/>
        <v>1.0356978539498711</v>
      </c>
      <c r="I82" s="205">
        <f>Таблица224627910121314574548[[#This Row],[Столбец3]]*12.7%</f>
        <v>218.02472206499999</v>
      </c>
      <c r="J82" s="205"/>
      <c r="K82" s="225">
        <f>5498.2-Таблица224627910121314574548[[#This Row],[Столбец4]]</f>
        <v>3950.1590340000002</v>
      </c>
      <c r="L82" s="225"/>
      <c r="M82" s="225"/>
      <c r="N82" s="225"/>
    </row>
    <row r="83" spans="1:14" s="133" customFormat="1" ht="21" x14ac:dyDescent="0.2">
      <c r="A83" s="153" t="s">
        <v>27</v>
      </c>
      <c r="B83" s="154">
        <f>B84+B85+B86+B87</f>
        <v>1300.370281</v>
      </c>
      <c r="C83" s="99">
        <f>C84+C85+C86+C87</f>
        <v>1396.608426</v>
      </c>
      <c r="D83" s="246">
        <f>D84+D85+D86+D87</f>
        <v>1552.4809749999999</v>
      </c>
      <c r="E83" s="99">
        <f>Таблица224627910121314574548[[#This Row],[Столбец2]]-Таблица224627910121314574548[[#This Row],[Столбец3]]</f>
        <v>252.11069399999997</v>
      </c>
      <c r="F83" s="154">
        <f>Таблица224627910121314574548[[#This Row],[Столбец2]]*100/Таблица224627910121314574548[[#This Row],[Столбец3]]-100</f>
        <v>19.38760810544855</v>
      </c>
      <c r="G83" s="154">
        <f t="shared" si="0"/>
        <v>0.90337995831741291</v>
      </c>
      <c r="H83" s="190">
        <f t="shared" si="1"/>
        <v>0.94036183931578365</v>
      </c>
      <c r="I83" s="205">
        <f>Таблица224627910121314574548[[#This Row],[Столбец3]]*12.7%</f>
        <v>165.147025687</v>
      </c>
      <c r="J83" s="205"/>
      <c r="K83" s="225">
        <f>5498.2-Таблица224627910121314574548[[#This Row],[Столбец4]]</f>
        <v>4101.591574</v>
      </c>
      <c r="L83" s="225"/>
      <c r="M83" s="225"/>
      <c r="N83" s="225"/>
    </row>
    <row r="84" spans="1:14" s="133" customFormat="1" ht="21" x14ac:dyDescent="0.2">
      <c r="A84" s="149" t="s">
        <v>33</v>
      </c>
      <c r="B84" s="134">
        <v>254.417494</v>
      </c>
      <c r="C84" s="248">
        <v>358.19085200000001</v>
      </c>
      <c r="D84" s="245">
        <v>358.05729200000002</v>
      </c>
      <c r="E84" s="91">
        <f>Таблица224627910121314574548[[#This Row],[Столбец2]]-Таблица224627910121314574548[[#This Row],[Столбец3]]</f>
        <v>103.63979800000001</v>
      </c>
      <c r="F84" s="134">
        <f>Таблица224627910121314574548[[#This Row],[Столбец2]]*100/Таблица224627910121314574548[[#This Row],[Столбец3]]-100</f>
        <v>40.736113059898315</v>
      </c>
      <c r="G84" s="134">
        <f t="shared" ref="G84:G151" si="5">B84/$B$8*100</f>
        <v>0.17674632255375317</v>
      </c>
      <c r="H84" s="188">
        <f t="shared" ref="H84:H151" si="6">D84/$D$8*100</f>
        <v>0.21688086302348969</v>
      </c>
      <c r="I84" s="207">
        <f>Таблица224627910121314574548[[#This Row],[Столбец3]]*12.7%</f>
        <v>32.311021738000001</v>
      </c>
      <c r="J84" s="205"/>
      <c r="K84" s="225">
        <f>5498.2-Таблица224627910121314574548[[#This Row],[Столбец4]]</f>
        <v>5140.0091480000001</v>
      </c>
      <c r="L84" s="225"/>
      <c r="M84" s="225"/>
      <c r="N84" s="225"/>
    </row>
    <row r="85" spans="1:14" s="133" customFormat="1" ht="21" x14ac:dyDescent="0.2">
      <c r="A85" s="149" t="s">
        <v>34</v>
      </c>
      <c r="B85" s="154">
        <v>460.42399999999998</v>
      </c>
      <c r="C85" s="249">
        <v>450.05500000000001</v>
      </c>
      <c r="D85" s="246">
        <v>579.69730000000004</v>
      </c>
      <c r="E85" s="99">
        <f>Таблица224627910121314574548[[#This Row],[Столбец2]]-Таблица224627910121314574548[[#This Row],[Столбец3]]</f>
        <v>119.27330000000006</v>
      </c>
      <c r="F85" s="154">
        <f>Таблица224627910121314574548[[#This Row],[Столбец2]]*100/Таблица224627910121314574548[[#This Row],[Столбец3]]-100</f>
        <v>25.90510051604609</v>
      </c>
      <c r="G85" s="154">
        <f t="shared" si="5"/>
        <v>0.31986105804300252</v>
      </c>
      <c r="H85" s="190">
        <f t="shared" si="6"/>
        <v>0.35113165832798288</v>
      </c>
      <c r="I85" s="205">
        <f>Таблица224627910121314574548[[#This Row],[Столбец3]]*12.7%</f>
        <v>58.473847999999997</v>
      </c>
      <c r="J85" s="205"/>
      <c r="K85" s="225">
        <f>5498.2-Таблица224627910121314574548[[#This Row],[Столбец4]]</f>
        <v>5048.1449999999995</v>
      </c>
      <c r="L85" s="225"/>
      <c r="M85" s="225"/>
      <c r="N85" s="225"/>
    </row>
    <row r="86" spans="1:14" s="133" customFormat="1" ht="21" outlineLevel="1" x14ac:dyDescent="0.2">
      <c r="A86" s="149" t="s">
        <v>35</v>
      </c>
      <c r="B86" s="132">
        <v>567.24038399999995</v>
      </c>
      <c r="C86" s="96">
        <v>568.30203099999994</v>
      </c>
      <c r="D86" s="243">
        <f>638.230722-45.4</f>
        <v>592.83072200000004</v>
      </c>
      <c r="E86" s="96">
        <f>Таблица224627910121314574548[[#This Row],[Столбец2]]-Таблица224627910121314574548[[#This Row],[Столбец3]]</f>
        <v>25.590338000000088</v>
      </c>
      <c r="F86" s="132">
        <f>Таблица224627910121314574548[[#This Row],[Столбец2]]*100/Таблица224627910121314574548[[#This Row],[Столбец3]]-100</f>
        <v>4.5113744933929212</v>
      </c>
      <c r="G86" s="132">
        <f>B85/$B$8*100</f>
        <v>0.31986105804300252</v>
      </c>
      <c r="H86" s="189">
        <f>D85/$D$8*100</f>
        <v>0.35113165832798288</v>
      </c>
      <c r="I86" s="205">
        <f>Таблица224627910121314574548[[#This Row],[Столбец3]]*12.7%</f>
        <v>72.039528767999997</v>
      </c>
      <c r="J86" s="205"/>
      <c r="K86" s="225">
        <f>5498.2-Таблица224627910121314574548[[#This Row],[Столбец4]]</f>
        <v>4929.8979689999996</v>
      </c>
      <c r="L86" s="225"/>
      <c r="M86" s="225" t="s">
        <v>110</v>
      </c>
      <c r="N86" s="225">
        <v>-18</v>
      </c>
    </row>
    <row r="87" spans="1:14" s="133" customFormat="1" ht="36" outlineLevel="1" x14ac:dyDescent="0.2">
      <c r="A87" s="229" t="s">
        <v>102</v>
      </c>
      <c r="B87" s="132">
        <v>18.288402999999999</v>
      </c>
      <c r="C87" s="96">
        <v>20.060542999999999</v>
      </c>
      <c r="D87" s="243">
        <v>21.895661</v>
      </c>
      <c r="E87" s="96">
        <f>Таблица224627910121314574548[[#This Row],[Столбец2]]-Таблица224627910121314574548[[#This Row],[Столбец3]]</f>
        <v>3.6072580000000016</v>
      </c>
      <c r="F87" s="132">
        <f>Таблица224627910121314574548[[#This Row],[Столбец2]]*100/Таблица224627910121314574548[[#This Row],[Столбец3]]-100</f>
        <v>19.724291946103776</v>
      </c>
      <c r="G87" s="132">
        <f>B86/$B$8*100</f>
        <v>0.39406744520476572</v>
      </c>
      <c r="H87" s="189">
        <f>D86/$D$8*100</f>
        <v>0.35908677601851069</v>
      </c>
      <c r="I87" s="228">
        <f>Таблица224627910121314574548[[#This Row],[Столбец3]]*12.7%</f>
        <v>2.3226271810000001</v>
      </c>
      <c r="J87" s="225"/>
      <c r="K87" s="228">
        <f>5498.2-Таблица224627910121314574548[[#This Row],[Столбец4]]</f>
        <v>5478.1394570000002</v>
      </c>
      <c r="L87" s="225"/>
      <c r="M87" s="225" t="s">
        <v>115</v>
      </c>
      <c r="N87" s="225">
        <f>-16.7-0.734</f>
        <v>-17.433999999999997</v>
      </c>
    </row>
    <row r="88" spans="1:14" s="133" customFormat="1" ht="21" x14ac:dyDescent="0.2">
      <c r="A88" s="153" t="s">
        <v>28</v>
      </c>
      <c r="B88" s="134">
        <v>380.12805400000002</v>
      </c>
      <c r="C88" s="91">
        <v>115.1861</v>
      </c>
      <c r="D88" s="245">
        <v>121.15075</v>
      </c>
      <c r="E88" s="91">
        <f>Таблица224627910121314574548[[#This Row],[Столбец2]]-Таблица224627910121314574548[[#This Row],[Столбец3]]</f>
        <v>-258.977304</v>
      </c>
      <c r="F88" s="134">
        <f>Таблица224627910121314574548[[#This Row],[Столбец2]]*100/Таблица224627910121314574548[[#This Row],[Столбец3]]-100</f>
        <v>-68.128963720209924</v>
      </c>
      <c r="G88" s="134">
        <f t="shared" si="5"/>
        <v>0.26407867866198897</v>
      </c>
      <c r="H88" s="188">
        <f t="shared" si="6"/>
        <v>7.338289095908998E-2</v>
      </c>
      <c r="I88" s="205">
        <f>Таблица224627910121314574548[[#This Row],[Столбец3]]*12.7%</f>
        <v>48.276262858000003</v>
      </c>
      <c r="J88" s="205"/>
      <c r="K88" s="225">
        <f>5498.2-Таблица224627910121314574548[[#This Row],[Столбец4]]</f>
        <v>5383.0138999999999</v>
      </c>
      <c r="L88" s="225"/>
      <c r="M88" s="225">
        <v>2219</v>
      </c>
      <c r="N88" s="225">
        <v>-5</v>
      </c>
    </row>
    <row r="89" spans="1:14" s="136" customFormat="1" ht="21" x14ac:dyDescent="0.2">
      <c r="A89" s="153" t="s">
        <v>29</v>
      </c>
      <c r="B89" s="134">
        <v>36.231760000000001</v>
      </c>
      <c r="C89" s="91">
        <v>36.24644</v>
      </c>
      <c r="D89" s="245">
        <v>36.243290000000002</v>
      </c>
      <c r="E89" s="91">
        <f>Таблица224627910121314574548[[#This Row],[Столбец2]]-Таблица224627910121314574548[[#This Row],[Столбец3]]</f>
        <v>1.1530000000000484E-2</v>
      </c>
      <c r="F89" s="134">
        <f>Таблица224627910121314574548[[#This Row],[Столбец2]]*100/Таблица224627910121314574548[[#This Row],[Столбец3]]-100</f>
        <v>3.1822908961643748E-2</v>
      </c>
      <c r="G89" s="134">
        <f t="shared" si="5"/>
        <v>2.5170558199312239E-2</v>
      </c>
      <c r="H89" s="188">
        <f t="shared" si="6"/>
        <v>2.1953123674997275E-2</v>
      </c>
      <c r="I89" s="205">
        <f>Таблица224627910121314574548[[#This Row],[Столбец3]]*12.7%</f>
        <v>4.6014335200000005</v>
      </c>
      <c r="J89" s="205"/>
      <c r="K89" s="225">
        <f>5498.2-Таблица224627910121314574548[[#This Row],[Столбец4]]</f>
        <v>5461.9535599999999</v>
      </c>
      <c r="L89" s="225"/>
      <c r="M89" s="225" t="s">
        <v>116</v>
      </c>
      <c r="N89" s="225">
        <v>-5</v>
      </c>
    </row>
    <row r="90" spans="1:14" s="133" customFormat="1" ht="21" x14ac:dyDescent="0.2">
      <c r="A90" s="151" t="s">
        <v>13</v>
      </c>
      <c r="B90" s="135">
        <f>SUM(B91,B96,B97)</f>
        <v>15322.396808</v>
      </c>
      <c r="C90" s="86">
        <f>SUM(C91,C96,C97)</f>
        <v>13686.545595</v>
      </c>
      <c r="D90" s="240">
        <f>SUM(D91,D96,D97)</f>
        <v>15149.549531000001</v>
      </c>
      <c r="E90" s="86">
        <f>Таблица224627910121314574548[[#This Row],[Столбец2]]-Таблица224627910121314574548[[#This Row],[Столбец3]]</f>
        <v>-172.84727699999894</v>
      </c>
      <c r="F90" s="135">
        <f>Таблица224627910121314574548[[#This Row],[Столбец2]]*100/Таблица224627910121314574548[[#This Row],[Столбец3]]-100</f>
        <v>-1.1280694473971238</v>
      </c>
      <c r="G90" s="135">
        <f t="shared" si="5"/>
        <v>10.644618991976101</v>
      </c>
      <c r="H90" s="186">
        <f t="shared" si="6"/>
        <v>9.1763174500587539</v>
      </c>
      <c r="I90" s="205">
        <f>Таблица224627910121314574548[[#This Row],[Столбец3]]*12.7%</f>
        <v>1945.944394616</v>
      </c>
      <c r="J90" s="205"/>
      <c r="K90" s="225">
        <f>5498.2-Таблица224627910121314574548[[#This Row],[Столбец4]]</f>
        <v>-8188.3455949999998</v>
      </c>
      <c r="L90" s="225"/>
      <c r="M90" s="225"/>
      <c r="N90" s="225"/>
    </row>
    <row r="91" spans="1:14" s="133" customFormat="1" ht="21" x14ac:dyDescent="0.2">
      <c r="A91" s="153" t="s">
        <v>27</v>
      </c>
      <c r="B91" s="134">
        <f>B99+B107+B115+B123+B130+B138</f>
        <v>5413.7762520000006</v>
      </c>
      <c r="C91" s="91">
        <f t="shared" ref="B91:D92" si="7">C99+C107+C115+C123+C130+C138</f>
        <v>5681.9979700000004</v>
      </c>
      <c r="D91" s="245">
        <f t="shared" si="7"/>
        <v>5675.0771159999995</v>
      </c>
      <c r="E91" s="91">
        <f>Таблица224627910121314574548[[#This Row],[Столбец2]]-Таблица224627910121314574548[[#This Row],[Столбец3]]</f>
        <v>261.30086399999891</v>
      </c>
      <c r="F91" s="134">
        <f>Таблица224627910121314574548[[#This Row],[Столбец2]]*100/Таблица224627910121314574548[[#This Row],[Столбец3]]-100</f>
        <v>4.8265914924627111</v>
      </c>
      <c r="G91" s="134">
        <f t="shared" si="5"/>
        <v>3.7610033359963877</v>
      </c>
      <c r="H91" s="188">
        <f t="shared" si="6"/>
        <v>3.4374823530836975</v>
      </c>
      <c r="I91" s="205">
        <f>Таблица224627910121314574548[[#This Row],[Столбец3]]*12.7%</f>
        <v>687.54958400400005</v>
      </c>
      <c r="J91" s="205"/>
      <c r="K91" s="225">
        <f>5498.2-Таблица224627910121314574548[[#This Row],[Столбец4]]</f>
        <v>-183.79797000000053</v>
      </c>
      <c r="L91" s="225"/>
      <c r="M91" s="225"/>
      <c r="N91" s="225"/>
    </row>
    <row r="92" spans="1:14" s="133" customFormat="1" ht="21" x14ac:dyDescent="0.2">
      <c r="A92" s="149" t="s">
        <v>33</v>
      </c>
      <c r="B92" s="134">
        <f t="shared" si="7"/>
        <v>393.222084</v>
      </c>
      <c r="C92" s="91">
        <f t="shared" si="7"/>
        <v>552.5652520000001</v>
      </c>
      <c r="D92" s="245">
        <f t="shared" si="7"/>
        <v>557.52225200000009</v>
      </c>
      <c r="E92" s="91">
        <f>Таблица224627910121314574548[[#This Row],[Столбец2]]-Таблица224627910121314574548[[#This Row],[Столбец3]]</f>
        <v>164.3001680000001</v>
      </c>
      <c r="F92" s="134">
        <f>Таблица224627910121314574548[[#This Row],[Столбец2]]*100/Таблица224627910121314574548[[#This Row],[Столбец3]]-100</f>
        <v>41.783046956233534</v>
      </c>
      <c r="G92" s="134">
        <f t="shared" si="5"/>
        <v>0.27317522942790645</v>
      </c>
      <c r="H92" s="188">
        <f t="shared" si="6"/>
        <v>0.33769988733691114</v>
      </c>
      <c r="I92" s="205">
        <f>Таблица224627910121314574548[[#This Row],[Столбец3]]*12.7%</f>
        <v>49.939204668000002</v>
      </c>
      <c r="J92" s="205"/>
      <c r="K92" s="225">
        <f>5498.2-Таблица224627910121314574548[[#This Row],[Столбец4]]</f>
        <v>4945.6347479999995</v>
      </c>
      <c r="L92" s="225"/>
      <c r="M92" s="225"/>
      <c r="N92" s="225"/>
    </row>
    <row r="93" spans="1:14" s="133" customFormat="1" ht="21" x14ac:dyDescent="0.2">
      <c r="A93" s="149" t="s">
        <v>34</v>
      </c>
      <c r="B93" s="134">
        <f>B101+B109+B117+B125+B132</f>
        <v>3539.8009999999999</v>
      </c>
      <c r="C93" s="91">
        <f>C101+C109+C117+C125+C132</f>
        <v>3521.2820000000002</v>
      </c>
      <c r="D93" s="245">
        <f>D101+D109+D117+D125+D132</f>
        <v>3563.25</v>
      </c>
      <c r="E93" s="91">
        <f>Таблица224627910121314574548[[#This Row],[Столбец2]]-Таблица224627910121314574548[[#This Row],[Столбец3]]</f>
        <v>23.449000000000069</v>
      </c>
      <c r="F93" s="134">
        <f>Таблица224627910121314574548[[#This Row],[Столбец2]]*100/Таблица224627910121314574548[[#This Row],[Столбец3]]-100</f>
        <v>0.6624383687105535</v>
      </c>
      <c r="G93" s="134">
        <f t="shared" si="5"/>
        <v>2.4591343916079058</v>
      </c>
      <c r="H93" s="188">
        <f t="shared" si="6"/>
        <v>2.1583158685355008</v>
      </c>
      <c r="I93" s="205">
        <f>Таблица224627910121314574548[[#This Row],[Столбец3]]*12.7%</f>
        <v>449.55472700000001</v>
      </c>
      <c r="J93" s="205"/>
      <c r="K93" s="225">
        <f>5498.2-Таблица224627910121314574548[[#This Row],[Столбец4]]</f>
        <v>1976.9179999999997</v>
      </c>
      <c r="L93" s="225"/>
      <c r="M93" s="225"/>
      <c r="N93" s="225"/>
    </row>
    <row r="94" spans="1:14" s="133" customFormat="1" ht="21" outlineLevel="1" x14ac:dyDescent="0.2">
      <c r="A94" s="149" t="s">
        <v>35</v>
      </c>
      <c r="B94" s="132">
        <f t="shared" ref="B94:D95" si="8">B102+B110+B118+B126+B133+B140</f>
        <v>1429.8050040000001</v>
      </c>
      <c r="C94" s="96">
        <f t="shared" si="8"/>
        <v>1548.3096710000002</v>
      </c>
      <c r="D94" s="243">
        <f t="shared" si="8"/>
        <v>1486.415688</v>
      </c>
      <c r="E94" s="96">
        <f>Таблица224627910121314574548[[#This Row],[Столбец2]]-Таблица224627910121314574548[[#This Row],[Столбец3]]</f>
        <v>56.610683999999992</v>
      </c>
      <c r="F94" s="132">
        <f>Таблица224627910121314574548[[#This Row],[Столбец2]]*100/Таблица224627910121314574548[[#This Row],[Столбец3]]-100</f>
        <v>3.9593289883324587</v>
      </c>
      <c r="G94" s="132">
        <f t="shared" si="5"/>
        <v>0.99329952690263656</v>
      </c>
      <c r="H94" s="189">
        <f t="shared" si="6"/>
        <v>0.90034506886985599</v>
      </c>
      <c r="I94" s="205">
        <f>Таблица224627910121314574548[[#This Row],[Столбец3]]*12.7%</f>
        <v>181.58523550800001</v>
      </c>
      <c r="J94" s="205"/>
      <c r="K94" s="225">
        <f>5498.2-Таблица224627910121314574548[[#This Row],[Столбец4]]</f>
        <v>3949.8903289999998</v>
      </c>
      <c r="L94" s="225"/>
      <c r="M94" s="225"/>
      <c r="N94" s="225"/>
    </row>
    <row r="95" spans="1:14" s="133" customFormat="1" ht="21" outlineLevel="1" x14ac:dyDescent="0.2">
      <c r="A95" s="229" t="s">
        <v>102</v>
      </c>
      <c r="B95" s="199">
        <f t="shared" si="8"/>
        <v>50.948163999999991</v>
      </c>
      <c r="C95" s="243">
        <f t="shared" si="8"/>
        <v>59.841047000000003</v>
      </c>
      <c r="D95" s="243">
        <f t="shared" si="8"/>
        <v>67.889176000000006</v>
      </c>
      <c r="E95" s="243">
        <f>Таблица224627910121314574548[[#This Row],[Столбец2]]-Таблица224627910121314574548[[#This Row],[Столбец3]]</f>
        <v>16.941012000000015</v>
      </c>
      <c r="F95" s="199">
        <f>Таблица224627910121314574548[[#This Row],[Столбец2]]*100/Таблица224627910121314574548[[#This Row],[Столбец3]]-100</f>
        <v>33.251467118618876</v>
      </c>
      <c r="G95" s="199">
        <f t="shared" si="5"/>
        <v>3.5394188057938793E-2</v>
      </c>
      <c r="H95" s="230">
        <f t="shared" si="6"/>
        <v>4.1121528341429736E-2</v>
      </c>
      <c r="I95" s="228">
        <f>Таблица224627910121314574548[[#This Row],[Столбец3]]*12.7%</f>
        <v>6.4704168279999994</v>
      </c>
      <c r="J95" s="225"/>
      <c r="K95" s="228">
        <f>5498.2-Таблица224627910121314574548[[#This Row],[Столбец4]]</f>
        <v>5438.3589529999999</v>
      </c>
      <c r="L95" s="225"/>
      <c r="M95" s="225"/>
      <c r="N95" s="225"/>
    </row>
    <row r="96" spans="1:14" s="133" customFormat="1" ht="21" x14ac:dyDescent="0.2">
      <c r="A96" s="153" t="s">
        <v>28</v>
      </c>
      <c r="B96" s="134">
        <f>B104+B112+B120+B135</f>
        <v>9758.2247160000006</v>
      </c>
      <c r="C96" s="91">
        <f>C104+C112+C120+C135</f>
        <v>7855.14</v>
      </c>
      <c r="D96" s="245">
        <f>D104+D112+D120+D135</f>
        <v>9316.48</v>
      </c>
      <c r="E96" s="91">
        <f>Таблица224627910121314574548[[#This Row],[Столбец2]]-Таблица224627910121314574548[[#This Row],[Столбец3]]</f>
        <v>-441.74471600000106</v>
      </c>
      <c r="F96" s="134">
        <f>Таблица224627910121314574548[[#This Row],[Столбец2]]*100/Таблица224627910121314574548[[#This Row],[Столбец3]]-100</f>
        <v>-4.5268963244482023</v>
      </c>
      <c r="G96" s="134">
        <f t="shared" si="5"/>
        <v>6.7791341943103269</v>
      </c>
      <c r="H96" s="188">
        <f t="shared" si="6"/>
        <v>5.6431366373096541</v>
      </c>
      <c r="I96" s="205">
        <f>Таблица224627910121314574548[[#This Row],[Столбец3]]*12.7%</f>
        <v>1239.294538932</v>
      </c>
      <c r="J96" s="205"/>
      <c r="K96" s="225">
        <f>5498.2-Таблица224627910121314574548[[#This Row],[Столбец4]]</f>
        <v>-2356.9400000000005</v>
      </c>
      <c r="L96" s="225"/>
      <c r="M96" s="225"/>
      <c r="N96" s="225"/>
    </row>
    <row r="97" spans="1:14" s="133" customFormat="1" ht="21" x14ac:dyDescent="0.2">
      <c r="A97" s="153" t="s">
        <v>29</v>
      </c>
      <c r="B97" s="134">
        <f>B105+B113+B121+B128+B136+B142</f>
        <v>150.39583999999999</v>
      </c>
      <c r="C97" s="91">
        <f>C105+C113+C121+C128+C136</f>
        <v>149.407625</v>
      </c>
      <c r="D97" s="245">
        <f>D105+D113+D121+D128+D136+D142</f>
        <v>157.99241499999999</v>
      </c>
      <c r="E97" s="91">
        <f>Таблица224627910121314574548[[#This Row],[Столбец2]]-Таблица224627910121314574548[[#This Row],[Столбец3]]</f>
        <v>7.5965750000000014</v>
      </c>
      <c r="F97" s="134">
        <f>Таблица224627910121314574548[[#This Row],[Столбец2]]*100/Таблица224627910121314574548[[#This Row],[Столбец3]]-100</f>
        <v>5.0510539387259712</v>
      </c>
      <c r="G97" s="134">
        <f t="shared" si="5"/>
        <v>0.10448146166938761</v>
      </c>
      <c r="H97" s="188">
        <f t="shared" si="6"/>
        <v>9.5698459665402733E-2</v>
      </c>
      <c r="I97" s="205">
        <f>Таблица224627910121314574548[[#This Row],[Столбец3]]*12.7%</f>
        <v>19.100271679999999</v>
      </c>
      <c r="J97" s="205"/>
      <c r="K97" s="225">
        <f>5498.2-Таблица224627910121314574548[[#This Row],[Столбец4]]</f>
        <v>5348.792375</v>
      </c>
      <c r="L97" s="225"/>
      <c r="M97" s="225"/>
      <c r="N97" s="225"/>
    </row>
    <row r="98" spans="1:14" s="133" customFormat="1" ht="42" x14ac:dyDescent="0.2">
      <c r="A98" s="151" t="s">
        <v>11</v>
      </c>
      <c r="B98" s="135">
        <f>SUM(B99,B104,B105)</f>
        <v>1796.0806439999999</v>
      </c>
      <c r="C98" s="86">
        <f>SUM(C99,C104,C105)</f>
        <v>1749.1670000000004</v>
      </c>
      <c r="D98" s="240">
        <f>SUM(D99,D104,D105)</f>
        <v>1743.3920000000001</v>
      </c>
      <c r="E98" s="86">
        <f>Таблица224627910121314574548[[#This Row],[Столбец2]]-Таблица224627910121314574548[[#This Row],[Столбец3]]</f>
        <v>-52.68864399999984</v>
      </c>
      <c r="F98" s="135">
        <f>Таблица224627910121314574548[[#This Row],[Столбец2]]*100/Таблица224627910121314574548[[#This Row],[Столбец3]]-100</f>
        <v>-2.9335344254174629</v>
      </c>
      <c r="G98" s="135">
        <f t="shared" si="5"/>
        <v>1.2477547980131298</v>
      </c>
      <c r="H98" s="186">
        <f t="shared" si="6"/>
        <v>1.0559996123420596</v>
      </c>
      <c r="I98" s="205">
        <f>Таблица224627910121314574548[[#This Row],[Столбец3]]*12.7%</f>
        <v>228.10224178799999</v>
      </c>
      <c r="J98" s="205"/>
      <c r="K98" s="225">
        <f>5498.2-Таблица224627910121314574548[[#This Row],[Столбец4]]</f>
        <v>3749.0329999999994</v>
      </c>
      <c r="L98" s="225"/>
      <c r="M98" s="225"/>
      <c r="N98" s="225"/>
    </row>
    <row r="99" spans="1:14" s="133" customFormat="1" ht="21" x14ac:dyDescent="0.2">
      <c r="A99" s="153" t="s">
        <v>27</v>
      </c>
      <c r="B99" s="154">
        <f>B100+B101+B102+B103</f>
        <v>1019.665937</v>
      </c>
      <c r="C99" s="99">
        <f>C100+C101+C102+C103</f>
        <v>1141.1360000000002</v>
      </c>
      <c r="D99" s="246">
        <f>D100+D101+D102+D103</f>
        <v>1127.502</v>
      </c>
      <c r="E99" s="99">
        <f>Таблица224627910121314574548[[#This Row],[Столбец2]]-Таблица224627910121314574548[[#This Row],[Столбец3]]</f>
        <v>107.83606299999997</v>
      </c>
      <c r="F99" s="154">
        <f>Таблица224627910121314574548[[#This Row],[Столбец2]]*100/Таблица224627910121314574548[[#This Row],[Столбец3]]-100</f>
        <v>10.575626691744631</v>
      </c>
      <c r="G99" s="154">
        <f t="shared" si="5"/>
        <v>0.70837190385216575</v>
      </c>
      <c r="H99" s="190">
        <f t="shared" si="6"/>
        <v>0.68294547348783119</v>
      </c>
      <c r="I99" s="205">
        <f>Таблица224627910121314574548[[#This Row],[Столбец3]]*12.7%</f>
        <v>129.497573999</v>
      </c>
      <c r="J99" s="205"/>
      <c r="K99" s="225">
        <f>5498.2-Таблица224627910121314574548[[#This Row],[Столбец4]]</f>
        <v>4357.0639999999994</v>
      </c>
      <c r="L99" s="225"/>
      <c r="M99" s="225"/>
      <c r="N99" s="225"/>
    </row>
    <row r="100" spans="1:14" s="133" customFormat="1" ht="21" x14ac:dyDescent="0.2">
      <c r="A100" s="149" t="s">
        <v>33</v>
      </c>
      <c r="B100" s="154">
        <v>195.23993300000001</v>
      </c>
      <c r="C100" s="99">
        <v>272.27199999999999</v>
      </c>
      <c r="D100" s="246">
        <v>277.22899999999998</v>
      </c>
      <c r="E100" s="99">
        <f>Таблица224627910121314574548[[#This Row],[Столбец2]]-Таблица224627910121314574548[[#This Row],[Столбец3]]</f>
        <v>81.989066999999977</v>
      </c>
      <c r="F100" s="154">
        <f>Таблица224627910121314574548[[#This Row],[Столбец2]]*100/Таблица224627910121314574548[[#This Row],[Столбец3]]-100</f>
        <v>41.99400488423646</v>
      </c>
      <c r="G100" s="154">
        <f t="shared" si="5"/>
        <v>0.13563509187536907</v>
      </c>
      <c r="H100" s="190">
        <f t="shared" si="6"/>
        <v>0.16792191115364577</v>
      </c>
      <c r="I100" s="205">
        <f>Таблица224627910121314574548[[#This Row],[Столбец3]]*12.7%</f>
        <v>24.795471491000001</v>
      </c>
      <c r="J100" s="205"/>
      <c r="K100" s="225">
        <f>5498.2-Таблица224627910121314574548[[#This Row],[Столбец4]]</f>
        <v>5225.9279999999999</v>
      </c>
      <c r="L100" s="225"/>
      <c r="M100" s="225"/>
      <c r="N100" s="225"/>
    </row>
    <row r="101" spans="1:14" s="133" customFormat="1" ht="21" x14ac:dyDescent="0.2">
      <c r="A101" s="149" t="s">
        <v>34</v>
      </c>
      <c r="B101" s="154">
        <v>178.32400000000001</v>
      </c>
      <c r="C101" s="99">
        <v>171.93299999999999</v>
      </c>
      <c r="D101" s="246">
        <v>181.81299999999999</v>
      </c>
      <c r="E101" s="99">
        <f>Таблица224627910121314574548[[#This Row],[Столбец2]]-Таблица224627910121314574548[[#This Row],[Столбец3]]</f>
        <v>3.4889999999999759</v>
      </c>
      <c r="F101" s="154">
        <f>Таблица224627910121314574548[[#This Row],[Столбец2]]*100/Таблица224627910121314574548[[#This Row],[Столбец3]]-100</f>
        <v>1.9565509970615125</v>
      </c>
      <c r="G101" s="154">
        <f t="shared" si="5"/>
        <v>0.12388342769807914</v>
      </c>
      <c r="H101" s="190">
        <f t="shared" si="6"/>
        <v>0.11012695797545641</v>
      </c>
      <c r="I101" s="205">
        <f>Таблица224627910121314574548[[#This Row],[Столбец3]]*12.7%</f>
        <v>22.647148000000001</v>
      </c>
      <c r="J101" s="205"/>
      <c r="K101" s="225">
        <f>5498.2-Таблица224627910121314574548[[#This Row],[Столбец4]]</f>
        <v>5326.2669999999998</v>
      </c>
      <c r="L101" s="225"/>
      <c r="M101" s="225"/>
      <c r="N101" s="225"/>
    </row>
    <row r="102" spans="1:14" s="133" customFormat="1" ht="21" outlineLevel="1" x14ac:dyDescent="0.2">
      <c r="A102" s="149" t="s">
        <v>35</v>
      </c>
      <c r="B102" s="132">
        <v>644.97673099999997</v>
      </c>
      <c r="C102" s="96">
        <v>695.68635400000005</v>
      </c>
      <c r="D102" s="243">
        <f>697.121768-30</f>
        <v>667.12176799999997</v>
      </c>
      <c r="E102" s="96">
        <f>Таблица224627910121314574548[[#This Row],[Столбец2]]-Таблица224627910121314574548[[#This Row],[Столбец3]]</f>
        <v>22.145037000000002</v>
      </c>
      <c r="F102" s="132">
        <f>Таблица224627910121314574548[[#This Row],[Столбец2]]*100/Таблица224627910121314574548[[#This Row],[Столбец3]]-100</f>
        <v>3.43346293526983</v>
      </c>
      <c r="G102" s="132">
        <f t="shared" si="5"/>
        <v>0.44807164611483546</v>
      </c>
      <c r="H102" s="189">
        <f t="shared" si="6"/>
        <v>0.40408601645123382</v>
      </c>
      <c r="I102" s="205">
        <f>Таблица224627910121314574548[[#This Row],[Столбец3]]*12.7%</f>
        <v>81.912044836999996</v>
      </c>
      <c r="J102" s="205"/>
      <c r="K102" s="225">
        <f>5498.2-Таблица224627910121314574548[[#This Row],[Столбец4]]</f>
        <v>4802.5136459999994</v>
      </c>
      <c r="L102" s="225"/>
      <c r="M102" s="225" t="s">
        <v>117</v>
      </c>
      <c r="N102" s="225">
        <v>-30</v>
      </c>
    </row>
    <row r="103" spans="1:14" s="133" customFormat="1" ht="21" outlineLevel="1" x14ac:dyDescent="0.2">
      <c r="A103" s="229" t="s">
        <v>102</v>
      </c>
      <c r="B103" s="199">
        <v>1.125273</v>
      </c>
      <c r="C103" s="243">
        <v>1.2446459999999999</v>
      </c>
      <c r="D103" s="243">
        <v>1.3382320000000001</v>
      </c>
      <c r="E103" s="96">
        <f>Таблица224627910121314574548[[#This Row],[Столбец2]]-Таблица224627910121314574548[[#This Row],[Столбец3]]</f>
        <v>0.21295900000000012</v>
      </c>
      <c r="F103" s="132">
        <f>Таблица224627910121314574548[[#This Row],[Столбец2]]*100/Таблица224627910121314574548[[#This Row],[Столбец3]]-100</f>
        <v>18.925096398829453</v>
      </c>
      <c r="G103" s="132">
        <f t="shared" si="5"/>
        <v>7.8173816388203829E-4</v>
      </c>
      <c r="H103" s="189">
        <f t="shared" si="6"/>
        <v>8.1058790749512406E-4</v>
      </c>
      <c r="I103" s="228">
        <f>Таблица224627910121314574548[[#This Row],[Столбец3]]*12.7%</f>
        <v>0.14290967099999999</v>
      </c>
      <c r="J103" s="225"/>
      <c r="K103" s="228">
        <f>5498.2-Таблица224627910121314574548[[#This Row],[Столбец4]]</f>
        <v>5496.9553539999997</v>
      </c>
      <c r="L103" s="225"/>
      <c r="M103" s="225"/>
      <c r="N103" s="225"/>
    </row>
    <row r="104" spans="1:14" s="133" customFormat="1" ht="21" x14ac:dyDescent="0.2">
      <c r="A104" s="153" t="s">
        <v>28</v>
      </c>
      <c r="B104" s="134">
        <v>706.173047</v>
      </c>
      <c r="C104" s="91">
        <f>503.176+40.022</f>
        <v>543.19799999999998</v>
      </c>
      <c r="D104" s="245">
        <f>509.14+40.022</f>
        <v>549.16200000000003</v>
      </c>
      <c r="E104" s="91">
        <f>Таблица224627910121314574548[[#This Row],[Столбец2]]-Таблица224627910121314574548[[#This Row],[Столбец3]]</f>
        <v>-157.01104699999996</v>
      </c>
      <c r="F104" s="134">
        <f>Таблица224627910121314574548[[#This Row],[Столбец2]]*100/Таблица224627910121314574548[[#This Row],[Столбец3]]-100</f>
        <v>-22.234075297410769</v>
      </c>
      <c r="G104" s="134">
        <f t="shared" si="5"/>
        <v>0.49058532564521173</v>
      </c>
      <c r="H104" s="188">
        <f t="shared" si="6"/>
        <v>0.33263595285110303</v>
      </c>
      <c r="I104" s="205">
        <f>Таблица224627910121314574548[[#This Row],[Столбец3]]*12.7%</f>
        <v>89.683976969</v>
      </c>
      <c r="J104" s="205"/>
      <c r="K104" s="225">
        <f>5498.2-Таблица224627910121314574548[[#This Row],[Столбец4]]</f>
        <v>4955.0019999999995</v>
      </c>
      <c r="L104" s="225"/>
      <c r="M104" s="225"/>
      <c r="N104" s="225"/>
    </row>
    <row r="105" spans="1:14" s="133" customFormat="1" ht="21" x14ac:dyDescent="0.2">
      <c r="A105" s="153" t="s">
        <v>29</v>
      </c>
      <c r="B105" s="134">
        <v>70.241659999999996</v>
      </c>
      <c r="C105" s="91">
        <v>64.832999999999998</v>
      </c>
      <c r="D105" s="245">
        <v>66.727999999999994</v>
      </c>
      <c r="E105" s="91">
        <f>Таблица224627910121314574548[[#This Row],[Столбец2]]-Таблица224627910121314574548[[#This Row],[Столбец3]]</f>
        <v>-3.5136600000000016</v>
      </c>
      <c r="F105" s="134">
        <f>Таблица224627910121314574548[[#This Row],[Столбец2]]*100/Таблица224627910121314574548[[#This Row],[Столбец3]]-100</f>
        <v>-5.0022451063941276</v>
      </c>
      <c r="G105" s="134">
        <f t="shared" si="5"/>
        <v>4.8797568515752544E-2</v>
      </c>
      <c r="H105" s="188">
        <f t="shared" si="6"/>
        <v>4.0418186003125488E-2</v>
      </c>
      <c r="I105" s="205">
        <f>Таблица224627910121314574548[[#This Row],[Столбец3]]*12.7%</f>
        <v>8.920690819999999</v>
      </c>
      <c r="J105" s="205"/>
      <c r="K105" s="225">
        <f>5498.2-Таблица224627910121314574548[[#This Row],[Столбец4]]</f>
        <v>5433.3670000000002</v>
      </c>
      <c r="L105" s="225"/>
      <c r="M105" s="225"/>
      <c r="N105" s="225"/>
    </row>
    <row r="106" spans="1:14" s="133" customFormat="1" ht="21" x14ac:dyDescent="0.2">
      <c r="A106" s="151" t="s">
        <v>4</v>
      </c>
      <c r="B106" s="135">
        <f>SUM(B107,B112,B113)</f>
        <v>8123.0747130000009</v>
      </c>
      <c r="C106" s="86">
        <f>SUM(C107,C112,C113)</f>
        <v>6889.9984290000002</v>
      </c>
      <c r="D106" s="240">
        <f>SUM(D107,D112,D113)</f>
        <v>8144.5175049999998</v>
      </c>
      <c r="E106" s="86">
        <f>Таблица224627910121314574548[[#This Row],[Столбец2]]-Таблица224627910121314574548[[#This Row],[Столбец3]]</f>
        <v>21.442791999998917</v>
      </c>
      <c r="F106" s="135">
        <f>Таблица224627910121314574548[[#This Row],[Столбец2]]*100/Таблица224627910121314574548[[#This Row],[Столбец3]]-100</f>
        <v>0.26397383697188559</v>
      </c>
      <c r="G106" s="135">
        <f t="shared" si="5"/>
        <v>5.6431794873041792</v>
      </c>
      <c r="H106" s="186">
        <f t="shared" si="6"/>
        <v>4.933260751450689</v>
      </c>
      <c r="I106" s="205">
        <f>Таблица224627910121314574548[[#This Row],[Столбец3]]*12.7%</f>
        <v>1031.6304885510001</v>
      </c>
      <c r="J106" s="205"/>
      <c r="K106" s="225">
        <f>5498.2-Таблица224627910121314574548[[#This Row],[Столбец4]]</f>
        <v>-1391.7984290000004</v>
      </c>
      <c r="L106" s="225"/>
      <c r="M106" s="225"/>
      <c r="N106" s="225"/>
    </row>
    <row r="107" spans="1:14" s="133" customFormat="1" ht="21" x14ac:dyDescent="0.2">
      <c r="A107" s="153" t="s">
        <v>27</v>
      </c>
      <c r="B107" s="154">
        <f>B108+B109+B110+B111</f>
        <v>2897.3151730000004</v>
      </c>
      <c r="C107" s="99">
        <f>C108+C109+C110+C111</f>
        <v>2903.4844190000003</v>
      </c>
      <c r="D107" s="246">
        <f>D108+D109+D110+D111</f>
        <v>2905.4264950000002</v>
      </c>
      <c r="E107" s="99">
        <f>Таблица224627910121314574548[[#This Row],[Столбец2]]-Таблица224627910121314574548[[#This Row],[Столбец3]]</f>
        <v>8.1113219999997455</v>
      </c>
      <c r="F107" s="154">
        <f>Таблица224627910121314574548[[#This Row],[Столбец2]]*100/Таблица224627910121314574548[[#This Row],[Столбец3]]-100</f>
        <v>0.27995994621464604</v>
      </c>
      <c r="G107" s="154">
        <f t="shared" si="5"/>
        <v>2.0127932008753344</v>
      </c>
      <c r="H107" s="190">
        <f t="shared" si="6"/>
        <v>1.7598619544017349</v>
      </c>
      <c r="I107" s="205">
        <f>Таблица224627910121314574548[[#This Row],[Столбец3]]*12.7%</f>
        <v>367.95902697100007</v>
      </c>
      <c r="J107" s="205"/>
      <c r="K107" s="225">
        <f>5498.2-Таблица224627910121314574548[[#This Row],[Столбец4]]</f>
        <v>2594.7155809999995</v>
      </c>
      <c r="L107" s="225"/>
      <c r="M107" s="225"/>
      <c r="N107" s="225"/>
    </row>
    <row r="108" spans="1:14" s="133" customFormat="1" ht="21" x14ac:dyDescent="0.2">
      <c r="A108" s="149" t="s">
        <v>33</v>
      </c>
      <c r="B108" s="134">
        <v>10.904856000000001</v>
      </c>
      <c r="C108" s="91">
        <v>15.387733000000001</v>
      </c>
      <c r="D108" s="245">
        <v>15.387733000000001</v>
      </c>
      <c r="E108" s="91">
        <f>Таблица224627910121314574548[[#This Row],[Столбец2]]-Таблица224627910121314574548[[#This Row],[Столбец3]]</f>
        <v>4.4828770000000002</v>
      </c>
      <c r="F108" s="134">
        <f>Таблица224627910121314574548[[#This Row],[Столбец2]]*100/Таблица224627910121314574548[[#This Row],[Столбец3]]-100</f>
        <v>41.108997679565874</v>
      </c>
      <c r="G108" s="134">
        <f t="shared" si="5"/>
        <v>7.5757101670777035E-3</v>
      </c>
      <c r="H108" s="188">
        <f t="shared" si="6"/>
        <v>9.3205888766399753E-3</v>
      </c>
      <c r="I108" s="205">
        <f>Таблица224627910121314574548[[#This Row],[Столбец3]]*12.7%</f>
        <v>1.3849167120000001</v>
      </c>
      <c r="J108" s="205"/>
      <c r="K108" s="225">
        <f>5498.2-Таблица224627910121314574548[[#This Row],[Столбец4]]</f>
        <v>5482.8122670000002</v>
      </c>
      <c r="L108" s="225"/>
      <c r="M108" s="225"/>
      <c r="N108" s="225"/>
    </row>
    <row r="109" spans="1:14" s="133" customFormat="1" ht="21" x14ac:dyDescent="0.2">
      <c r="A109" s="149" t="s">
        <v>34</v>
      </c>
      <c r="B109" s="154">
        <v>2880.4</v>
      </c>
      <c r="C109" s="99">
        <v>2880.4</v>
      </c>
      <c r="D109" s="246">
        <f>3281.57-400</f>
        <v>2881.57</v>
      </c>
      <c r="E109" s="99">
        <f>Таблица224627910121314574548[[#This Row],[Столбец2]]-Таблица224627910121314574548[[#This Row],[Столбец3]]</f>
        <v>1.1700000000000728</v>
      </c>
      <c r="F109" s="154">
        <f>Таблица224627910121314574548[[#This Row],[Столбец2]]*100/Таблица224627910121314574548[[#This Row],[Столбец3]]-100</f>
        <v>4.0619358422432583E-2</v>
      </c>
      <c r="G109" s="154">
        <f t="shared" si="5"/>
        <v>2.0010420646774811</v>
      </c>
      <c r="H109" s="190">
        <f t="shared" si="6"/>
        <v>1.7454117048469358</v>
      </c>
      <c r="I109" s="205">
        <f>Таблица224627910121314574548[[#This Row],[Столбец3]]*12.7%</f>
        <v>365.81080000000003</v>
      </c>
      <c r="J109" s="205"/>
      <c r="K109" s="225">
        <f>5498.2-Таблица224627910121314574548[[#This Row],[Столбец4]]</f>
        <v>2617.7999999999997</v>
      </c>
      <c r="L109" s="225"/>
      <c r="M109" s="225" t="s">
        <v>127</v>
      </c>
      <c r="N109" s="225">
        <v>-400</v>
      </c>
    </row>
    <row r="110" spans="1:14" s="133" customFormat="1" ht="21" outlineLevel="1" x14ac:dyDescent="0.2">
      <c r="A110" s="149" t="s">
        <v>35</v>
      </c>
      <c r="B110" s="132">
        <v>2.3173669999999995</v>
      </c>
      <c r="C110" s="96">
        <v>3.7754059999999998</v>
      </c>
      <c r="D110" s="243">
        <v>4.1910819999999998</v>
      </c>
      <c r="E110" s="96">
        <f>Таблица224627910121314574548[[#This Row],[Столбец2]]-Таблица224627910121314574548[[#This Row],[Столбец3]]</f>
        <v>1.8737150000000002</v>
      </c>
      <c r="F110" s="132">
        <f>Таблица224627910121314574548[[#This Row],[Столбец2]]*100/Таблица224627910121314574548[[#This Row],[Столбец3]]-100</f>
        <v>80.855341428440141</v>
      </c>
      <c r="G110" s="132">
        <f t="shared" si="5"/>
        <v>1.609897530306714E-3</v>
      </c>
      <c r="H110" s="189">
        <f t="shared" si="6"/>
        <v>2.5386034622699796E-3</v>
      </c>
      <c r="I110" s="205">
        <f>Таблица224627910121314574548[[#This Row],[Столбец3]]*12.7%</f>
        <v>0.29430560899999997</v>
      </c>
      <c r="J110" s="205"/>
      <c r="K110" s="225">
        <f>5498.2-Таблица224627910121314574548[[#This Row],[Столбец4]]</f>
        <v>5494.4245940000001</v>
      </c>
      <c r="L110" s="225"/>
      <c r="M110" s="225"/>
      <c r="N110" s="225"/>
    </row>
    <row r="111" spans="1:14" s="133" customFormat="1" ht="21" outlineLevel="1" x14ac:dyDescent="0.2">
      <c r="A111" s="229" t="s">
        <v>102</v>
      </c>
      <c r="B111" s="132">
        <v>3.6929500000000002</v>
      </c>
      <c r="C111" s="247">
        <v>3.9212799999999999</v>
      </c>
      <c r="D111" s="243">
        <v>4.2776800000000001</v>
      </c>
      <c r="E111" s="96">
        <f>Таблица224627910121314574548[[#This Row],[Столбец2]]-Таблица224627910121314574548[[#This Row],[Столбец3]]</f>
        <v>0.58472999999999997</v>
      </c>
      <c r="F111" s="132">
        <f>Таблица224627910121314574548[[#This Row],[Столбец2]]*100/Таблица224627910121314574548[[#This Row],[Столбец3]]-100</f>
        <v>15.8336830988776</v>
      </c>
      <c r="G111" s="132">
        <f>B110/$B$8*100</f>
        <v>1.609897530306714E-3</v>
      </c>
      <c r="H111" s="189">
        <f>D110/$D$8*100</f>
        <v>2.5386034622699796E-3</v>
      </c>
      <c r="I111" s="228">
        <f>Таблица224627910121314574548[[#This Row],[Столбец3]]*12.7%</f>
        <v>0.46900465000000002</v>
      </c>
      <c r="J111" s="225"/>
      <c r="K111" s="228">
        <f>5498.2-Таблица224627910121314574548[[#This Row],[Столбец4]]</f>
        <v>5494.2787200000002</v>
      </c>
      <c r="L111" s="225"/>
      <c r="M111" s="225"/>
      <c r="N111" s="225"/>
    </row>
    <row r="112" spans="1:14" s="133" customFormat="1" ht="21" x14ac:dyDescent="0.2">
      <c r="A112" s="153" t="s">
        <v>28</v>
      </c>
      <c r="B112" s="134">
        <v>5221.6770699999997</v>
      </c>
      <c r="C112" s="91">
        <f>3315.328+665.327</f>
        <v>3980.6549999999997</v>
      </c>
      <c r="D112" s="245">
        <f>3315.328+1917.904</f>
        <v>5233.232</v>
      </c>
      <c r="E112" s="91">
        <f>Таблица224627910121314574548[[#This Row],[Столбец2]]-Таблица224627910121314574548[[#This Row],[Столбец3]]</f>
        <v>11.55493000000024</v>
      </c>
      <c r="F112" s="134">
        <f>Таблица224627910121314574548[[#This Row],[Столбец2]]*100/Таблица224627910121314574548[[#This Row],[Столбец3]]-100</f>
        <v>0.22128771743443565</v>
      </c>
      <c r="G112" s="134">
        <f t="shared" si="5"/>
        <v>3.6275501545729267</v>
      </c>
      <c r="H112" s="188">
        <f t="shared" si="6"/>
        <v>3.1698499036912304</v>
      </c>
      <c r="I112" s="205">
        <f>Таблица224627910121314574548[[#This Row],[Столбец3]]*12.7%</f>
        <v>663.15298788999996</v>
      </c>
      <c r="J112" s="205"/>
      <c r="K112" s="225">
        <f>5498.2-Таблица224627910121314574548[[#This Row],[Столбец4]]</f>
        <v>1517.5450000000001</v>
      </c>
      <c r="L112" s="225"/>
      <c r="M112" s="225"/>
      <c r="N112" s="225"/>
    </row>
    <row r="113" spans="1:14" s="133" customFormat="1" ht="21" x14ac:dyDescent="0.2">
      <c r="A113" s="153" t="s">
        <v>29</v>
      </c>
      <c r="B113" s="154">
        <v>4.0824699999999998</v>
      </c>
      <c r="C113" s="99">
        <v>5.8590099999999996</v>
      </c>
      <c r="D113" s="246">
        <v>5.8590099999999996</v>
      </c>
      <c r="E113" s="99">
        <f>Таблица224627910121314574548[[#This Row],[Столбец2]]-Таблица224627910121314574548[[#This Row],[Столбец3]]</f>
        <v>1.7765399999999998</v>
      </c>
      <c r="F113" s="154">
        <f>Таблица224627910121314574548[[#This Row],[Столбец2]]*100/Таблица224627910121314574548[[#This Row],[Столбец3]]-100</f>
        <v>43.516302630515355</v>
      </c>
      <c r="G113" s="154">
        <f t="shared" si="5"/>
        <v>2.8361318559171904E-3</v>
      </c>
      <c r="H113" s="190">
        <f t="shared" si="6"/>
        <v>3.5488933577234789E-3</v>
      </c>
      <c r="I113" s="205">
        <f>Таблица224627910121314574548[[#This Row],[Столбец3]]*12.7%</f>
        <v>0.51847368999999999</v>
      </c>
      <c r="J113" s="205"/>
      <c r="K113" s="225">
        <f>5498.2-Таблица224627910121314574548[[#This Row],[Столбец4]]</f>
        <v>5492.3409899999997</v>
      </c>
      <c r="L113" s="225"/>
      <c r="M113" s="225"/>
      <c r="N113" s="225"/>
    </row>
    <row r="114" spans="1:14" s="133" customFormat="1" ht="21" x14ac:dyDescent="0.2">
      <c r="A114" s="151" t="s">
        <v>5</v>
      </c>
      <c r="B114" s="135">
        <f>SUM(B115,B120,B121)</f>
        <v>1424.8107479999999</v>
      </c>
      <c r="C114" s="86">
        <f>SUM(C115,C120,C121)</f>
        <v>1538.183</v>
      </c>
      <c r="D114" s="240">
        <f>SUM(D115,D120,D121)</f>
        <v>1561.2240000000002</v>
      </c>
      <c r="E114" s="86">
        <f>Таблица224627910121314574548[[#This Row],[Столбец2]]-Таблица224627910121314574548[[#This Row],[Столбец3]]</f>
        <v>136.41325200000028</v>
      </c>
      <c r="F114" s="135">
        <f>Таблица224627910121314574548[[#This Row],[Столбец2]]*100/Таблица224627910121314574548[[#This Row],[Столбец3]]-100</f>
        <v>9.5741313147365759</v>
      </c>
      <c r="G114" s="135">
        <f t="shared" si="5"/>
        <v>0.9898299683907047</v>
      </c>
      <c r="H114" s="186">
        <f t="shared" si="6"/>
        <v>0.94565762535282938</v>
      </c>
      <c r="I114" s="205">
        <f>Таблица224627910121314574548[[#This Row],[Столбец3]]*12.7%</f>
        <v>180.95096499599998</v>
      </c>
      <c r="J114" s="205"/>
      <c r="K114" s="225">
        <f>5498.2-Таблица224627910121314574548[[#This Row],[Столбец4]]</f>
        <v>3960.0169999999998</v>
      </c>
      <c r="L114" s="225"/>
      <c r="M114" s="225"/>
      <c r="N114" s="225"/>
    </row>
    <row r="115" spans="1:14" s="133" customFormat="1" ht="21" x14ac:dyDescent="0.2">
      <c r="A115" s="153" t="s">
        <v>27</v>
      </c>
      <c r="B115" s="154">
        <f>B116+B117+B118+B119</f>
        <v>296.04549399999996</v>
      </c>
      <c r="C115" s="99">
        <f>C116+C117+C118+C119</f>
        <v>352.24</v>
      </c>
      <c r="D115" s="246">
        <f>D116+D117+D118+D119</f>
        <v>348.62700000000001</v>
      </c>
      <c r="E115" s="99">
        <f>Таблица224627910121314574548[[#This Row],[Столбец2]]-Таблица224627910121314574548[[#This Row],[Столбец3]]</f>
        <v>52.581506000000047</v>
      </c>
      <c r="F115" s="154">
        <f>Таблица224627910121314574548[[#This Row],[Столбец2]]*100/Таблица224627910121314574548[[#This Row],[Столбец3]]-100</f>
        <v>17.761292458651667</v>
      </c>
      <c r="G115" s="154">
        <f t="shared" si="5"/>
        <v>0.20566570148320534</v>
      </c>
      <c r="H115" s="190">
        <f t="shared" si="6"/>
        <v>0.2111687886900796</v>
      </c>
      <c r="I115" s="205">
        <f>Таблица224627910121314574548[[#This Row],[Столбец3]]*12.7%</f>
        <v>37.597777737999998</v>
      </c>
      <c r="J115" s="205"/>
      <c r="K115" s="225">
        <f>5498.2-Таблица224627910121314574548[[#This Row],[Столбец4]]</f>
        <v>5145.96</v>
      </c>
      <c r="L115" s="225"/>
      <c r="M115" s="225"/>
      <c r="N115" s="225"/>
    </row>
    <row r="116" spans="1:14" s="133" customFormat="1" ht="21" x14ac:dyDescent="0.2">
      <c r="A116" s="149" t="s">
        <v>33</v>
      </c>
      <c r="B116" s="134">
        <v>85.483817000000002</v>
      </c>
      <c r="C116" s="91">
        <v>121.629</v>
      </c>
      <c r="D116" s="245">
        <v>121.629</v>
      </c>
      <c r="E116" s="91">
        <f>Таблица224627910121314574548[[#This Row],[Столбец2]]-Таблица224627910121314574548[[#This Row],[Столбец3]]</f>
        <v>36.145183000000003</v>
      </c>
      <c r="F116" s="134">
        <f>Таблица224627910121314574548[[#This Row],[Столбец2]]*100/Таблица224627910121314574548[[#This Row],[Столбец3]]-100</f>
        <v>42.283070958331194</v>
      </c>
      <c r="G116" s="134">
        <f t="shared" si="5"/>
        <v>5.9386444127965544E-2</v>
      </c>
      <c r="H116" s="188">
        <f t="shared" si="6"/>
        <v>7.367257441215308E-2</v>
      </c>
      <c r="I116" s="205">
        <f>Таблица224627910121314574548[[#This Row],[Столбец3]]*12.7%</f>
        <v>10.856444759</v>
      </c>
      <c r="J116" s="205"/>
      <c r="K116" s="225">
        <f>5498.2-Таблица224627910121314574548[[#This Row],[Столбец4]]</f>
        <v>5376.5709999999999</v>
      </c>
      <c r="L116" s="225"/>
      <c r="M116" s="225"/>
      <c r="N116" s="225"/>
    </row>
    <row r="117" spans="1:14" s="133" customFormat="1" ht="21" x14ac:dyDescent="0.2">
      <c r="A117" s="149" t="s">
        <v>34</v>
      </c>
      <c r="B117" s="154">
        <v>40.084000000000003</v>
      </c>
      <c r="C117" s="99">
        <v>31.379000000000001</v>
      </c>
      <c r="D117" s="246">
        <v>42.878</v>
      </c>
      <c r="E117" s="99">
        <f>Таблица224627910121314574548[[#This Row],[Столбец2]]-Таблица224627910121314574548[[#This Row],[Столбец3]]</f>
        <v>2.7939999999999969</v>
      </c>
      <c r="F117" s="154">
        <f>Таблица224627910121314574548[[#This Row],[Столбец2]]*100/Таблица224627910121314574548[[#This Row],[Столбец3]]-100</f>
        <v>6.9703622392974722</v>
      </c>
      <c r="G117" s="154">
        <f t="shared" si="5"/>
        <v>2.7846747021431795E-2</v>
      </c>
      <c r="H117" s="190">
        <f t="shared" si="6"/>
        <v>2.5971870570705175E-2</v>
      </c>
      <c r="I117" s="205">
        <f>Таблица224627910121314574548[[#This Row],[Столбец3]]*12.7%</f>
        <v>5.0906680000000009</v>
      </c>
      <c r="J117" s="205"/>
      <c r="K117" s="225">
        <f>5498.2-Таблица224627910121314574548[[#This Row],[Столбец4]]</f>
        <v>5466.8209999999999</v>
      </c>
      <c r="L117" s="225"/>
      <c r="M117" s="225"/>
      <c r="N117" s="225"/>
    </row>
    <row r="118" spans="1:14" s="133" customFormat="1" ht="21" outlineLevel="1" x14ac:dyDescent="0.2">
      <c r="A118" s="149" t="s">
        <v>35</v>
      </c>
      <c r="B118" s="132">
        <v>128.422642</v>
      </c>
      <c r="C118" s="96">
        <v>149.139126</v>
      </c>
      <c r="D118" s="243">
        <f>157.207017-20.7-10</f>
        <v>126.50701700000002</v>
      </c>
      <c r="E118" s="96">
        <f>Таблица224627910121314574548[[#This Row],[Столбец2]]-Таблица224627910121314574548[[#This Row],[Столбец3]]</f>
        <v>-1.9156249999999773</v>
      </c>
      <c r="F118" s="132">
        <f>Таблица224627910121314574548[[#This Row],[Столбец2]]*100/Таблица224627910121314574548[[#This Row],[Столбец3]]-100</f>
        <v>-1.4916567438318111</v>
      </c>
      <c r="G118" s="132">
        <f t="shared" si="5"/>
        <v>8.921646601132377E-2</v>
      </c>
      <c r="H118" s="189">
        <f t="shared" si="6"/>
        <v>7.6627265073231018E-2</v>
      </c>
      <c r="I118" s="205">
        <f>Таблица224627910121314574548[[#This Row],[Столбец3]]*12.7%</f>
        <v>16.309675534</v>
      </c>
      <c r="J118" s="205"/>
      <c r="K118" s="225">
        <f>5498.2-Таблица224627910121314574548[[#This Row],[Столбец4]]</f>
        <v>5349.0608739999998</v>
      </c>
      <c r="L118" s="225"/>
      <c r="M118" s="225" t="s">
        <v>120</v>
      </c>
      <c r="N118" s="225">
        <v>-20.7</v>
      </c>
    </row>
    <row r="119" spans="1:14" s="133" customFormat="1" ht="21" outlineLevel="1" x14ac:dyDescent="0.2">
      <c r="A119" s="229" t="s">
        <v>102</v>
      </c>
      <c r="B119" s="132">
        <v>42.055034999999997</v>
      </c>
      <c r="C119" s="247">
        <v>50.092874000000002</v>
      </c>
      <c r="D119" s="243">
        <v>57.612983</v>
      </c>
      <c r="E119" s="96">
        <f>Таблица224627910121314574548[[#This Row],[Столбец2]]-Таблица224627910121314574548[[#This Row],[Столбец3]]</f>
        <v>15.557948000000003</v>
      </c>
      <c r="F119" s="132">
        <f>Таблица224627910121314574548[[#This Row],[Столбец2]]*100/Таблица224627910121314574548[[#This Row],[Столбец3]]-100</f>
        <v>36.994257643585371</v>
      </c>
      <c r="G119" s="132">
        <f>B118/$B$8*100</f>
        <v>8.921646601132377E-2</v>
      </c>
      <c r="H119" s="189">
        <f>D118/$D$8*100</f>
        <v>7.6627265073231018E-2</v>
      </c>
      <c r="I119" s="228">
        <f>Таблица224627910121314574548[[#This Row],[Столбец3]]*12.7%</f>
        <v>5.3409894449999999</v>
      </c>
      <c r="J119" s="225"/>
      <c r="K119" s="228">
        <f>5498.2-Таблица224627910121314574548[[#This Row],[Столбец4]]</f>
        <v>5448.1071259999999</v>
      </c>
      <c r="L119" s="225"/>
      <c r="M119" s="225" t="s">
        <v>121</v>
      </c>
      <c r="N119" s="225">
        <v>-10</v>
      </c>
    </row>
    <row r="120" spans="1:14" s="133" customFormat="1" ht="21" x14ac:dyDescent="0.2">
      <c r="A120" s="153" t="s">
        <v>28</v>
      </c>
      <c r="B120" s="134">
        <v>1091.4581539999999</v>
      </c>
      <c r="C120" s="91">
        <f>170.892+973.176</f>
        <v>1144.068</v>
      </c>
      <c r="D120" s="245">
        <f>985.105+182.822</f>
        <v>1167.9270000000001</v>
      </c>
      <c r="E120" s="91">
        <f>Таблица224627910121314574548[[#This Row],[Столбец2]]-Таблица224627910121314574548[[#This Row],[Столбец3]]</f>
        <v>76.468846000000212</v>
      </c>
      <c r="F120" s="134">
        <f>Таблица224627910121314574548[[#This Row],[Столбец2]]*100/Таблица224627910121314574548[[#This Row],[Столбец3]]-100</f>
        <v>7.0061179826047777</v>
      </c>
      <c r="G120" s="134">
        <f t="shared" si="5"/>
        <v>0.75824665948799885</v>
      </c>
      <c r="H120" s="188">
        <f t="shared" si="6"/>
        <v>0.70743152385913488</v>
      </c>
      <c r="I120" s="205">
        <f>Таблица224627910121314574548[[#This Row],[Столбец3]]*12.7%</f>
        <v>138.61518555799998</v>
      </c>
      <c r="J120" s="205"/>
      <c r="K120" s="225">
        <f>5498.2-Таблица224627910121314574548[[#This Row],[Столбец4]]</f>
        <v>4354.1319999999996</v>
      </c>
      <c r="L120" s="225"/>
      <c r="M120" s="225"/>
      <c r="N120" s="225"/>
    </row>
    <row r="121" spans="1:14" s="133" customFormat="1" ht="21" x14ac:dyDescent="0.2">
      <c r="A121" s="153" t="s">
        <v>29</v>
      </c>
      <c r="B121" s="154">
        <v>37.307099999999998</v>
      </c>
      <c r="C121" s="99">
        <v>41.875</v>
      </c>
      <c r="D121" s="246">
        <v>44.67</v>
      </c>
      <c r="E121" s="99">
        <f>Таблица224627910121314574548[[#This Row],[Столбец2]]-Таблица224627910121314574548[[#This Row],[Столбец3]]</f>
        <v>7.3629000000000033</v>
      </c>
      <c r="F121" s="154">
        <f>Таблица224627910121314574548[[#This Row],[Столбец2]]*100/Таблица224627910121314574548[[#This Row],[Столбец3]]-100</f>
        <v>19.735921580610665</v>
      </c>
      <c r="G121" s="154">
        <f t="shared" si="5"/>
        <v>2.5917607419500503E-2</v>
      </c>
      <c r="H121" s="190">
        <f t="shared" si="6"/>
        <v>2.7057312803614911E-2</v>
      </c>
      <c r="I121" s="205">
        <f>Таблица224627910121314574548[[#This Row],[Столбец3]]*12.7%</f>
        <v>4.7380016999999999</v>
      </c>
      <c r="J121" s="205"/>
      <c r="K121" s="225">
        <f>5498.2-Таблица224627910121314574548[[#This Row],[Столбец4]]</f>
        <v>5456.3249999999998</v>
      </c>
      <c r="L121" s="225"/>
      <c r="M121" s="225"/>
      <c r="N121" s="225"/>
    </row>
    <row r="122" spans="1:14" s="133" customFormat="1" ht="21" x14ac:dyDescent="0.2">
      <c r="A122" s="151" t="s">
        <v>6</v>
      </c>
      <c r="B122" s="135">
        <f>SUM(B123,B128)</f>
        <v>309.29236200000003</v>
      </c>
      <c r="C122" s="86">
        <f>SUM(C123,C128)</f>
        <v>327.311849</v>
      </c>
      <c r="D122" s="240">
        <f>SUM(D123,D128)</f>
        <v>345.61939799999999</v>
      </c>
      <c r="E122" s="86">
        <f>Таблица224627910121314574548[[#This Row],[Столбец2]]-Таблица224627910121314574548[[#This Row],[Столбец3]]</f>
        <v>36.327035999999964</v>
      </c>
      <c r="F122" s="135">
        <f>Таблица224627910121314574548[[#This Row],[Столбец2]]*100/Таблица224627910121314574548[[#This Row],[Столбец3]]-100</f>
        <v>11.745209537376155</v>
      </c>
      <c r="G122" s="135">
        <f t="shared" si="5"/>
        <v>0.21486843030324082</v>
      </c>
      <c r="H122" s="186">
        <f t="shared" si="6"/>
        <v>0.20934703744533417</v>
      </c>
      <c r="I122" s="205">
        <f>Таблица224627910121314574548[[#This Row],[Столбец3]]*12.7%</f>
        <v>39.280129974000005</v>
      </c>
      <c r="J122" s="205"/>
      <c r="K122" s="225">
        <f>5498.2-Таблица224627910121314574548[[#This Row],[Столбец4]]</f>
        <v>5170.8881510000001</v>
      </c>
      <c r="L122" s="225"/>
      <c r="M122" s="225"/>
      <c r="N122" s="225"/>
    </row>
    <row r="123" spans="1:14" s="133" customFormat="1" ht="21" x14ac:dyDescent="0.2">
      <c r="A123" s="153" t="s">
        <v>27</v>
      </c>
      <c r="B123" s="154">
        <f>B124+B125+B126+B127</f>
        <v>306.05804700000004</v>
      </c>
      <c r="C123" s="99">
        <f>C124+C125+C126+C127</f>
        <v>322.975889</v>
      </c>
      <c r="D123" s="246">
        <f>D124+D125+D126+D127</f>
        <v>340.80207799999999</v>
      </c>
      <c r="E123" s="99">
        <f>Таблица224627910121314574548[[#This Row],[Столбец2]]-Таблица224627910121314574548[[#This Row],[Столбец3]]</f>
        <v>34.74403099999995</v>
      </c>
      <c r="F123" s="154">
        <f>Таблица224627910121314574548[[#This Row],[Столбец2]]*100/Таблица224627910121314574548[[#This Row],[Столбец3]]-100</f>
        <v>11.352105046922659</v>
      </c>
      <c r="G123" s="154">
        <f t="shared" si="5"/>
        <v>0.21262152002500959</v>
      </c>
      <c r="H123" s="190">
        <f t="shared" si="6"/>
        <v>0.20642911189988736</v>
      </c>
      <c r="I123" s="205">
        <f>Таблица224627910121314574548[[#This Row],[Столбец3]]*12.7%</f>
        <v>38.869371969000007</v>
      </c>
      <c r="J123" s="205"/>
      <c r="K123" s="225">
        <f>5498.2-Таблица224627910121314574548[[#This Row],[Столбец4]]</f>
        <v>5175.2241109999995</v>
      </c>
      <c r="L123" s="225"/>
      <c r="M123" s="225"/>
      <c r="N123" s="225"/>
    </row>
    <row r="124" spans="1:14" s="133" customFormat="1" ht="21" x14ac:dyDescent="0.2">
      <c r="A124" s="149" t="s">
        <v>33</v>
      </c>
      <c r="B124" s="134">
        <v>37.905479999999997</v>
      </c>
      <c r="C124" s="245">
        <v>53.209871999999997</v>
      </c>
      <c r="D124" s="245">
        <v>53.209871999999997</v>
      </c>
      <c r="E124" s="91">
        <f>Таблица224627910121314574548[[#This Row],[Столбец2]]-Таблица224627910121314574548[[#This Row],[Столбец3]]</f>
        <v>15.304392</v>
      </c>
      <c r="F124" s="134">
        <f>Таблица224627910121314574548[[#This Row],[Столбец2]]*100/Таблица224627910121314574548[[#This Row],[Столбец3]]-100</f>
        <v>40.375143646776138</v>
      </c>
      <c r="G124" s="134">
        <f t="shared" si="5"/>
        <v>2.6333307860641215E-2</v>
      </c>
      <c r="H124" s="188">
        <f t="shared" si="6"/>
        <v>3.2230045913237304E-2</v>
      </c>
      <c r="I124" s="205">
        <f>Таблица224627910121314574548[[#This Row],[Столбец3]]*12.7%</f>
        <v>4.8139959599999997</v>
      </c>
      <c r="J124" s="205"/>
      <c r="K124" s="225">
        <f>5498.2-Таблица224627910121314574548[[#This Row],[Столбец4]]</f>
        <v>5444.9901279999995</v>
      </c>
      <c r="L124" s="225"/>
      <c r="M124" s="225"/>
      <c r="N124" s="225"/>
    </row>
    <row r="125" spans="1:14" s="133" customFormat="1" ht="21" x14ac:dyDescent="0.2">
      <c r="A125" s="149" t="s">
        <v>34</v>
      </c>
      <c r="B125" s="154">
        <v>142.49299999999999</v>
      </c>
      <c r="C125" s="99">
        <v>142.49299999999999</v>
      </c>
      <c r="D125" s="246">
        <v>151.488</v>
      </c>
      <c r="E125" s="99">
        <f>Таблица224627910121314574548[[#This Row],[Столбец2]]-Таблица224627910121314574548[[#This Row],[Столбец3]]</f>
        <v>8.9950000000000045</v>
      </c>
      <c r="F125" s="154">
        <f>Таблица224627910121314574548[[#This Row],[Столбец2]]*100/Таблица224627910121314574548[[#This Row],[Столбец3]]-100</f>
        <v>6.3125907939337367</v>
      </c>
      <c r="G125" s="154">
        <f t="shared" si="5"/>
        <v>9.8991281392198399E-2</v>
      </c>
      <c r="H125" s="190">
        <f t="shared" si="6"/>
        <v>9.1758634474905204E-2</v>
      </c>
      <c r="I125" s="205">
        <f>Таблица224627910121314574548[[#This Row],[Столбец3]]*12.7%</f>
        <v>18.096610999999999</v>
      </c>
      <c r="J125" s="205"/>
      <c r="K125" s="225">
        <f>5498.2-Таблица224627910121314574548[[#This Row],[Столбец4]]</f>
        <v>5355.7069999999994</v>
      </c>
      <c r="L125" s="225"/>
      <c r="M125" s="225"/>
      <c r="N125" s="225"/>
    </row>
    <row r="126" spans="1:14" s="133" customFormat="1" ht="21" outlineLevel="1" x14ac:dyDescent="0.2">
      <c r="A126" s="149" t="s">
        <v>35</v>
      </c>
      <c r="B126" s="132">
        <v>125.421618</v>
      </c>
      <c r="C126" s="96">
        <v>127.071209</v>
      </c>
      <c r="D126" s="243">
        <v>135.888316</v>
      </c>
      <c r="E126" s="96">
        <f>Таблица224627910121314574548[[#This Row],[Столбец2]]-Таблица224627910121314574548[[#This Row],[Столбец3]]</f>
        <v>10.466698000000008</v>
      </c>
      <c r="F126" s="132">
        <f>Таблица224627910121314574548[[#This Row],[Столбец2]]*100/Таблица224627910121314574548[[#This Row],[Столбец3]]-100</f>
        <v>8.345210472408354</v>
      </c>
      <c r="G126" s="132">
        <f t="shared" si="5"/>
        <v>8.7131625273541971E-2</v>
      </c>
      <c r="H126" s="189">
        <f t="shared" si="6"/>
        <v>8.2309663585593662E-2</v>
      </c>
      <c r="I126" s="205">
        <f>Таблица224627910121314574548[[#This Row],[Столбец3]]*12.7%</f>
        <v>15.928545485999999</v>
      </c>
      <c r="J126" s="205"/>
      <c r="K126" s="225">
        <f>5498.2-Таблица224627910121314574548[[#This Row],[Столбец4]]</f>
        <v>5371.1287910000001</v>
      </c>
      <c r="L126" s="225"/>
      <c r="M126" s="225"/>
      <c r="N126" s="225"/>
    </row>
    <row r="127" spans="1:14" s="133" customFormat="1" ht="21" outlineLevel="1" x14ac:dyDescent="0.2">
      <c r="A127" s="229" t="s">
        <v>102</v>
      </c>
      <c r="B127" s="132">
        <v>0.23794899999999999</v>
      </c>
      <c r="C127" s="247">
        <v>0.20180799999999999</v>
      </c>
      <c r="D127" s="243">
        <v>0.21589</v>
      </c>
      <c r="E127" s="96">
        <f>Таблица224627910121314574548[[#This Row],[Столбец2]]-Таблица224627910121314574548[[#This Row],[Столбец3]]</f>
        <v>-2.2058999999999995E-2</v>
      </c>
      <c r="F127" s="132">
        <f>Таблица224627910121314574548[[#This Row],[Столбец2]]*100/Таблица224627910121314574548[[#This Row],[Столбец3]]-100</f>
        <v>-9.2704739250847865</v>
      </c>
      <c r="G127" s="132">
        <f>B126/$B$8*100</f>
        <v>8.7131625273541971E-2</v>
      </c>
      <c r="H127" s="189">
        <f>D126/$D$8*100</f>
        <v>8.2309663585593662E-2</v>
      </c>
      <c r="I127" s="228">
        <f>Таблица224627910121314574548[[#This Row],[Столбец3]]*12.7%</f>
        <v>3.0219522999999998E-2</v>
      </c>
      <c r="J127" s="225"/>
      <c r="K127" s="228">
        <f>5498.2-Таблица224627910121314574548[[#This Row],[Столбец4]]</f>
        <v>5497.998192</v>
      </c>
      <c r="L127" s="225"/>
      <c r="M127" s="225"/>
      <c r="N127" s="225"/>
    </row>
    <row r="128" spans="1:14" s="133" customFormat="1" ht="21" x14ac:dyDescent="0.2">
      <c r="A128" s="153" t="s">
        <v>29</v>
      </c>
      <c r="B128" s="134">
        <v>3.2343150000000001</v>
      </c>
      <c r="C128" s="91">
        <v>4.33596</v>
      </c>
      <c r="D128" s="245">
        <v>4.8173199999999996</v>
      </c>
      <c r="E128" s="91">
        <f>Таблица224627910121314574548[[#This Row],[Столбец2]]-Таблица224627910121314574548[[#This Row],[Столбец3]]</f>
        <v>1.5830049999999996</v>
      </c>
      <c r="F128" s="134">
        <f>Таблица224627910121314574548[[#This Row],[Столбец2]]*100/Таблица224627910121314574548[[#This Row],[Столбец3]]-100</f>
        <v>48.944057706191245</v>
      </c>
      <c r="G128" s="134">
        <f t="shared" si="5"/>
        <v>2.2469102782312687E-3</v>
      </c>
      <c r="H128" s="188">
        <f t="shared" si="6"/>
        <v>2.9179255454468362E-3</v>
      </c>
      <c r="I128" s="205">
        <f>Таблица224627910121314574548[[#This Row],[Столбец3]]*12.7%</f>
        <v>0.41075800500000004</v>
      </c>
      <c r="J128" s="205"/>
      <c r="K128" s="225">
        <f>5498.2-Таблица224627910121314574548[[#This Row],[Столбец4]]</f>
        <v>5493.8640399999995</v>
      </c>
      <c r="L128" s="225"/>
      <c r="M128" s="225"/>
      <c r="N128" s="225"/>
    </row>
    <row r="129" spans="1:14" s="133" customFormat="1" ht="21" x14ac:dyDescent="0.2">
      <c r="A129" s="151" t="s">
        <v>14</v>
      </c>
      <c r="B129" s="135">
        <f>SUM(B130,B135,B136)</f>
        <v>3530.6112999999996</v>
      </c>
      <c r="C129" s="86">
        <f>SUM(C130,C135,C136)</f>
        <v>3035.1013170000001</v>
      </c>
      <c r="D129" s="240">
        <f>SUM(D130,D135,D136)</f>
        <v>3210.0049879999997</v>
      </c>
      <c r="E129" s="86">
        <f>Таблица224627910121314574548[[#This Row],[Столбец2]]-Таблица224627910121314574548[[#This Row],[Столбец3]]</f>
        <v>-320.60631199999989</v>
      </c>
      <c r="F129" s="135">
        <f>Таблица224627910121314574548[[#This Row],[Столбец2]]*100/Таблица224627910121314574548[[#This Row],[Столбец3]]-100</f>
        <v>-9.0807592441569653</v>
      </c>
      <c r="G129" s="135">
        <f t="shared" si="5"/>
        <v>2.4527502170968076</v>
      </c>
      <c r="H129" s="186">
        <f t="shared" si="6"/>
        <v>1.9443498782511777</v>
      </c>
      <c r="I129" s="205">
        <f>Таблица224627910121314574548[[#This Row],[Столбец3]]*12.7%</f>
        <v>448.38763509999995</v>
      </c>
      <c r="J129" s="205"/>
      <c r="K129" s="225">
        <f>5498.2-Таблица224627910121314574548[[#This Row],[Столбец4]]</f>
        <v>2463.0986829999997</v>
      </c>
      <c r="L129" s="225"/>
      <c r="M129" s="225"/>
      <c r="N129" s="225"/>
    </row>
    <row r="130" spans="1:14" s="133" customFormat="1" ht="21" x14ac:dyDescent="0.2">
      <c r="A130" s="153" t="s">
        <v>27</v>
      </c>
      <c r="B130" s="154">
        <f>B131+B132+B133+B134</f>
        <v>759.19419999999991</v>
      </c>
      <c r="C130" s="99">
        <f>C131+C132+C133+C134</f>
        <v>815.37766199999999</v>
      </c>
      <c r="D130" s="246">
        <f>D131+D132+D133+D134</f>
        <v>810.95754299999999</v>
      </c>
      <c r="E130" s="99">
        <f>Таблица224627910121314574548[[#This Row],[Столбец2]]-Таблица224627910121314574548[[#This Row],[Столбец3]]</f>
        <v>51.763343000000077</v>
      </c>
      <c r="F130" s="154">
        <f>Таблица224627910121314574548[[#This Row],[Столбец2]]*100/Таблица224627910121314574548[[#This Row],[Столбец3]]-100</f>
        <v>6.8181952654538378</v>
      </c>
      <c r="G130" s="154">
        <f t="shared" si="5"/>
        <v>0.52741963944562154</v>
      </c>
      <c r="H130" s="190">
        <f t="shared" si="6"/>
        <v>0.49120957939113474</v>
      </c>
      <c r="I130" s="205">
        <f>Таблица224627910121314574548[[#This Row],[Столбец3]]*12.7%</f>
        <v>96.417663399999995</v>
      </c>
      <c r="J130" s="205"/>
      <c r="K130" s="225">
        <f>5498.2-Таблица224627910121314574548[[#This Row],[Столбец4]]</f>
        <v>4682.8223379999999</v>
      </c>
      <c r="L130" s="225"/>
      <c r="M130" s="225"/>
      <c r="N130" s="225"/>
    </row>
    <row r="131" spans="1:14" s="133" customFormat="1" ht="21" x14ac:dyDescent="0.2">
      <c r="A131" s="149" t="s">
        <v>33</v>
      </c>
      <c r="B131" s="134">
        <v>47.975667999999999</v>
      </c>
      <c r="C131" s="91">
        <v>68.067646999999994</v>
      </c>
      <c r="D131" s="245">
        <v>68.067646999999994</v>
      </c>
      <c r="E131" s="91">
        <f>Таблица224627910121314574548[[#This Row],[Столбец2]]-Таблица224627910121314574548[[#This Row],[Столбец3]]</f>
        <v>20.091978999999995</v>
      </c>
      <c r="F131" s="134">
        <f>Таблица224627910121314574548[[#This Row],[Столбец2]]*100/Таблица224627910121314574548[[#This Row],[Столбец3]]-100</f>
        <v>41.879519009511228</v>
      </c>
      <c r="G131" s="134">
        <f t="shared" si="5"/>
        <v>3.3329166000903118E-2</v>
      </c>
      <c r="H131" s="188">
        <f t="shared" si="6"/>
        <v>4.1229630998098052E-2</v>
      </c>
      <c r="I131" s="205">
        <f>Таблица224627910121314574548[[#This Row],[Столбец3]]*12.7%</f>
        <v>6.0929098359999996</v>
      </c>
      <c r="J131" s="205"/>
      <c r="K131" s="225">
        <f>5498.2-Таблица224627910121314574548[[#This Row],[Столбец4]]</f>
        <v>5430.132353</v>
      </c>
      <c r="L131" s="225"/>
      <c r="M131" s="225"/>
      <c r="N131" s="225"/>
    </row>
    <row r="132" spans="1:14" s="133" customFormat="1" ht="21" x14ac:dyDescent="0.2">
      <c r="A132" s="149" t="s">
        <v>34</v>
      </c>
      <c r="B132" s="134">
        <v>298.5</v>
      </c>
      <c r="C132" s="91">
        <v>295.077</v>
      </c>
      <c r="D132" s="245">
        <v>305.50099999999998</v>
      </c>
      <c r="E132" s="91">
        <f>Таблица224627910121314574548[[#This Row],[Столбец2]]-Таблица224627910121314574548[[#This Row],[Столбец3]]</f>
        <v>7.0009999999999764</v>
      </c>
      <c r="F132" s="134">
        <f>Таблица224627910121314574548[[#This Row],[Столбец2]]*100/Таблица224627910121314574548[[#This Row],[Столбец3]]-100</f>
        <v>2.3453936348408604</v>
      </c>
      <c r="G132" s="134">
        <f t="shared" si="5"/>
        <v>0.20737087081871547</v>
      </c>
      <c r="H132" s="188">
        <f t="shared" si="6"/>
        <v>0.18504670066749851</v>
      </c>
      <c r="I132" s="205">
        <f>Таблица224627910121314574548[[#This Row],[Столбец3]]*12.7%</f>
        <v>37.909500000000001</v>
      </c>
      <c r="J132" s="205"/>
      <c r="K132" s="225">
        <f>5498.2-Таблица224627910121314574548[[#This Row],[Столбец4]]</f>
        <v>5203.1229999999996</v>
      </c>
      <c r="L132" s="225"/>
      <c r="M132" s="225"/>
      <c r="N132" s="225"/>
    </row>
    <row r="133" spans="1:14" s="133" customFormat="1" ht="21" outlineLevel="1" x14ac:dyDescent="0.2">
      <c r="A133" s="149" t="s">
        <v>35</v>
      </c>
      <c r="B133" s="132">
        <v>408.881575</v>
      </c>
      <c r="C133" s="96">
        <v>447.852576</v>
      </c>
      <c r="D133" s="243">
        <f>448.416505-0.472-15</f>
        <v>432.94450499999999</v>
      </c>
      <c r="E133" s="96">
        <f>Таблица224627910121314574548[[#This Row],[Столбец2]]-Таблица224627910121314574548[[#This Row],[Столбец3]]</f>
        <v>24.062929999999994</v>
      </c>
      <c r="F133" s="132">
        <f>Таблица224627910121314574548[[#This Row],[Столбец2]]*100/Таблица224627910121314574548[[#This Row],[Столбец3]]-100</f>
        <v>5.8850609739507007</v>
      </c>
      <c r="G133" s="132">
        <f t="shared" si="5"/>
        <v>0.28405403105352739</v>
      </c>
      <c r="H133" s="189">
        <f t="shared" si="6"/>
        <v>0.26224121106763421</v>
      </c>
      <c r="I133" s="205">
        <f>Таблица224627910121314574548[[#This Row],[Столбец3]]*12.7%</f>
        <v>51.927960024999997</v>
      </c>
      <c r="J133" s="205"/>
      <c r="K133" s="225">
        <f>5498.2-Таблица224627910121314574548[[#This Row],[Столбец4]]</f>
        <v>5050.3474239999996</v>
      </c>
      <c r="L133" s="225"/>
      <c r="M133" s="225" t="s">
        <v>118</v>
      </c>
      <c r="N133" s="225">
        <v>-0.47199999999999998</v>
      </c>
    </row>
    <row r="134" spans="1:14" s="133" customFormat="1" ht="21" outlineLevel="1" x14ac:dyDescent="0.2">
      <c r="A134" s="229" t="s">
        <v>102</v>
      </c>
      <c r="B134" s="199">
        <v>3.836957</v>
      </c>
      <c r="C134" s="243">
        <v>4.380439</v>
      </c>
      <c r="D134" s="243">
        <v>4.4443910000000004</v>
      </c>
      <c r="E134" s="96">
        <f>Таблица224627910121314574548[[#This Row],[Столбец2]]-Таблица224627910121314574548[[#This Row],[Столбец3]]</f>
        <v>0.60743400000000047</v>
      </c>
      <c r="F134" s="132">
        <f>Таблица224627910121314574548[[#This Row],[Столбец2]]*100/Таблица224627910121314574548[[#This Row],[Столбец3]]-100</f>
        <v>15.831139103200812</v>
      </c>
      <c r="G134" s="132">
        <f t="shared" si="5"/>
        <v>2.6655715724755984E-3</v>
      </c>
      <c r="H134" s="189">
        <f t="shared" si="6"/>
        <v>2.6920366579039822E-3</v>
      </c>
      <c r="I134" s="228">
        <f>Таблица224627910121314574548[[#This Row],[Столбец3]]*12.7%</f>
        <v>0.487293539</v>
      </c>
      <c r="J134" s="225"/>
      <c r="K134" s="228">
        <f>5498.2-Таблица224627910121314574548[[#This Row],[Столбец4]]</f>
        <v>5493.8195610000002</v>
      </c>
      <c r="L134" s="225"/>
      <c r="M134" s="225" t="s">
        <v>119</v>
      </c>
      <c r="N134" s="225">
        <v>-15</v>
      </c>
    </row>
    <row r="135" spans="1:14" s="133" customFormat="1" ht="21" x14ac:dyDescent="0.2">
      <c r="A135" s="153" t="s">
        <v>28</v>
      </c>
      <c r="B135" s="134">
        <v>2738.9164449999998</v>
      </c>
      <c r="C135" s="91">
        <f>529.009+1658.21</f>
        <v>2187.2190000000001</v>
      </c>
      <c r="D135" s="245">
        <f>588.656+1777.503</f>
        <v>2366.1589999999997</v>
      </c>
      <c r="E135" s="91">
        <f>Таблица224627910121314574548[[#This Row],[Столбец2]]-Таблица224627910121314574548[[#This Row],[Столбец3]]</f>
        <v>-372.75744500000019</v>
      </c>
      <c r="F135" s="134">
        <f>Таблица224627910121314574548[[#This Row],[Столбец2]]*100/Таблица224627910121314574548[[#This Row],[Столбец3]]-100</f>
        <v>-13.609668366498866</v>
      </c>
      <c r="G135" s="134">
        <f t="shared" si="5"/>
        <v>1.9027520546041892</v>
      </c>
      <c r="H135" s="188">
        <f t="shared" si="6"/>
        <v>1.4332192569081854</v>
      </c>
      <c r="I135" s="205">
        <f>Таблица224627910121314574548[[#This Row],[Столбец3]]*12.7%</f>
        <v>347.84238851499998</v>
      </c>
      <c r="J135" s="205"/>
      <c r="K135" s="225">
        <f>5498.2-Таблица224627910121314574548[[#This Row],[Столбец4]]</f>
        <v>3310.9809999999998</v>
      </c>
      <c r="L135" s="225"/>
      <c r="M135" s="225"/>
      <c r="N135" s="225"/>
    </row>
    <row r="136" spans="1:14" s="213" customFormat="1" ht="21" x14ac:dyDescent="0.2">
      <c r="A136" s="153" t="s">
        <v>29</v>
      </c>
      <c r="B136" s="134">
        <v>32.500655000000002</v>
      </c>
      <c r="C136" s="91">
        <v>32.504655</v>
      </c>
      <c r="D136" s="245">
        <v>32.888444999999997</v>
      </c>
      <c r="E136" s="91">
        <f>Таблица224627910121314574548[[#This Row],[Столбец2]]-Таблица224627910121314574548[[#This Row],[Столбец3]]</f>
        <v>0.38778999999999542</v>
      </c>
      <c r="F136" s="134">
        <f>Таблица224627910121314574548[[#This Row],[Столбец2]]*100/Таблица224627910121314574548[[#This Row],[Столбец3]]-100</f>
        <v>1.1931759529153965</v>
      </c>
      <c r="G136" s="134">
        <f t="shared" si="5"/>
        <v>2.2578523046997118E-2</v>
      </c>
      <c r="H136" s="188">
        <f t="shared" si="6"/>
        <v>1.9921041951857728E-2</v>
      </c>
      <c r="I136" s="205">
        <f>Таблица224627910121314574548[[#This Row],[Столбец3]]*12.7%</f>
        <v>4.1275831850000007</v>
      </c>
      <c r="J136" s="205"/>
      <c r="K136" s="225">
        <f>5498.2-Таблица224627910121314574548[[#This Row],[Столбец4]]</f>
        <v>5465.6953450000001</v>
      </c>
      <c r="L136" s="227"/>
      <c r="M136" s="227"/>
      <c r="N136" s="227"/>
    </row>
    <row r="137" spans="1:14" ht="42" x14ac:dyDescent="0.2">
      <c r="A137" s="151" t="s">
        <v>7</v>
      </c>
      <c r="B137" s="135">
        <f>SUM(B138,B142)</f>
        <v>138.527041</v>
      </c>
      <c r="C137" s="86">
        <f>SUM(C138,C142)</f>
        <v>149.81363999999999</v>
      </c>
      <c r="D137" s="240">
        <f>SUM(D138,D142)</f>
        <v>144.79164</v>
      </c>
      <c r="E137" s="86">
        <f>Таблица224627910121314574548[[#This Row],[Столбец2]]-Таблица224627910121314574548[[#This Row],[Столбец3]]</f>
        <v>6.264599000000004</v>
      </c>
      <c r="F137" s="135">
        <f>Таблица224627910121314574548[[#This Row],[Столбец2]]*100/Таблица224627910121314574548[[#This Row],[Столбец3]]-100</f>
        <v>4.522293232265028</v>
      </c>
      <c r="G137" s="135">
        <f t="shared" si="5"/>
        <v>9.6236090868039872E-2</v>
      </c>
      <c r="H137" s="186">
        <f t="shared" si="6"/>
        <v>8.7702545216664443E-2</v>
      </c>
      <c r="I137" s="205">
        <f>Таблица224627910121314574548[[#This Row],[Столбец3]]*12.7%</f>
        <v>17.592934206999999</v>
      </c>
      <c r="J137" s="205"/>
      <c r="K137" s="225">
        <f>5498.2-Таблица224627910121314574548[[#This Row],[Столбец4]]</f>
        <v>5348.3863599999995</v>
      </c>
      <c r="L137" s="223"/>
      <c r="M137" s="223"/>
      <c r="N137" s="223"/>
    </row>
    <row r="138" spans="1:14" ht="21" x14ac:dyDescent="0.2">
      <c r="A138" s="153" t="s">
        <v>27</v>
      </c>
      <c r="B138" s="154">
        <f>B139+B140</f>
        <v>135.497401</v>
      </c>
      <c r="C138" s="99">
        <f>C139+C140</f>
        <v>146.78399999999999</v>
      </c>
      <c r="D138" s="246">
        <f>D139+D140</f>
        <v>141.762</v>
      </c>
      <c r="E138" s="99">
        <f>Таблица224627910121314574548[[#This Row],[Столбец2]]-Таблица224627910121314574548[[#This Row],[Столбец3]]</f>
        <v>6.264599000000004</v>
      </c>
      <c r="F138" s="154">
        <f>Таблица224627910121314574548[[#This Row],[Столбец2]]*100/Таблица224627910121314574548[[#This Row],[Столбец3]]-100</f>
        <v>4.6234089759404355</v>
      </c>
      <c r="G138" s="154">
        <f t="shared" si="5"/>
        <v>9.4131370315050894E-2</v>
      </c>
      <c r="H138" s="190">
        <f t="shared" si="6"/>
        <v>8.586744521303015E-2</v>
      </c>
      <c r="I138" s="211">
        <f>Таблица224627910121314574548[[#This Row],[Столбец3]]*12.7%</f>
        <v>17.208169927</v>
      </c>
      <c r="J138" s="205"/>
      <c r="K138" s="225">
        <f>5498.2-Таблица224627910121314574548[[#This Row],[Столбец4]]</f>
        <v>5351.4160000000002</v>
      </c>
      <c r="L138" s="223"/>
      <c r="M138" s="223"/>
      <c r="N138" s="223"/>
    </row>
    <row r="139" spans="1:14" ht="21" x14ac:dyDescent="0.2">
      <c r="A139" s="149" t="s">
        <v>33</v>
      </c>
      <c r="B139" s="154">
        <v>15.71233</v>
      </c>
      <c r="C139" s="99">
        <v>21.998999999999999</v>
      </c>
      <c r="D139" s="246">
        <v>21.998999999999999</v>
      </c>
      <c r="E139" s="99">
        <f>Таблица224627910121314574548[[#This Row],[Столбец2]]-Таблица224627910121314574548[[#This Row],[Столбец3]]</f>
        <v>6.2866699999999991</v>
      </c>
      <c r="F139" s="154">
        <f>Таблица224627910121314574548[[#This Row],[Столбец2]]*100/Таблица224627910121314574548[[#This Row],[Столбец3]]-100</f>
        <v>40.011061376638622</v>
      </c>
      <c r="G139" s="154">
        <f t="shared" si="5"/>
        <v>1.0915509395949843E-2</v>
      </c>
      <c r="H139" s="190">
        <f t="shared" si="6"/>
        <v>1.3325135983136878E-2</v>
      </c>
      <c r="I139" s="205">
        <f>Таблица224627910121314574548[[#This Row],[Столбец3]]*12.7%</f>
        <v>1.9954659100000001</v>
      </c>
      <c r="J139" s="205"/>
      <c r="K139" s="225">
        <f>5498.2-Таблица224627910121314574548[[#This Row],[Столбец4]]</f>
        <v>5476.201</v>
      </c>
      <c r="L139" s="223"/>
      <c r="M139" s="223"/>
      <c r="N139" s="223"/>
    </row>
    <row r="140" spans="1:14" ht="21" outlineLevel="1" x14ac:dyDescent="0.2">
      <c r="A140" s="149" t="s">
        <v>35</v>
      </c>
      <c r="B140" s="155">
        <v>119.785071</v>
      </c>
      <c r="C140" s="93">
        <v>124.785</v>
      </c>
      <c r="D140" s="244">
        <f>137.263-17.5</f>
        <v>119.76300000000001</v>
      </c>
      <c r="E140" s="93">
        <f>Таблица224627910121314574548[[#This Row],[Столбец2]]-Таблица224627910121314574548[[#This Row],[Столбец3]]</f>
        <v>-2.2070999999996843E-2</v>
      </c>
      <c r="F140" s="155">
        <f>Таблица224627910121314574548[[#This Row],[Столбец2]]*100/Таблица224627910121314574548[[#This Row],[Столбец3]]-100</f>
        <v>-1.8425501455013205E-2</v>
      </c>
      <c r="G140" s="155">
        <f t="shared" si="5"/>
        <v>8.3215860919101048E-2</v>
      </c>
      <c r="H140" s="191">
        <f t="shared" si="6"/>
        <v>7.254230922989327E-2</v>
      </c>
      <c r="I140" s="205">
        <f>Таблица224627910121314574548[[#This Row],[Столбец3]]*12.7%</f>
        <v>15.212704017</v>
      </c>
      <c r="J140" s="205"/>
      <c r="K140" s="225">
        <f>5498.2-Таблица224627910121314574548[[#This Row],[Столбец4]]</f>
        <v>5373.415</v>
      </c>
      <c r="L140" s="223"/>
      <c r="M140" s="223" t="s">
        <v>122</v>
      </c>
      <c r="N140" s="223">
        <v>-17.5</v>
      </c>
    </row>
    <row r="141" spans="1:14" ht="21" outlineLevel="1" x14ac:dyDescent="0.2">
      <c r="A141" s="229" t="s">
        <v>102</v>
      </c>
      <c r="B141" s="155"/>
      <c r="C141" s="250"/>
      <c r="D141" s="244"/>
      <c r="E141" s="93"/>
      <c r="F141" s="155"/>
      <c r="G141" s="155"/>
      <c r="H141" s="191"/>
      <c r="I141" s="228">
        <f>Таблица224627910121314574548[[#This Row],[Столбец3]]*12.7%</f>
        <v>0</v>
      </c>
      <c r="J141" s="225"/>
      <c r="K141" s="228">
        <f>5498.2-Таблица224627910121314574548[[#This Row],[Столбец4]]</f>
        <v>5498.2</v>
      </c>
      <c r="L141" s="223"/>
      <c r="M141" s="223"/>
      <c r="N141" s="223"/>
    </row>
    <row r="142" spans="1:14" ht="21" x14ac:dyDescent="0.2">
      <c r="A142" s="153" t="s">
        <v>29</v>
      </c>
      <c r="B142" s="134">
        <v>3.0296400000000001</v>
      </c>
      <c r="C142" s="91">
        <v>3.0296400000000001</v>
      </c>
      <c r="D142" s="245">
        <v>3.0296400000000001</v>
      </c>
      <c r="E142" s="91">
        <f>Таблица224627910121314574548[[#This Row],[Столбец2]]-Таблица224627910121314574548[[#This Row],[Столбец3]]</f>
        <v>0</v>
      </c>
      <c r="F142" s="134">
        <f>Таблица224627910121314574548[[#This Row],[Столбец2]]*100/Таблица224627910121314574548[[#This Row],[Столбец3]]-100</f>
        <v>0</v>
      </c>
      <c r="G142" s="134">
        <f>B142/$B$8*100</f>
        <v>2.1047205529889888E-3</v>
      </c>
      <c r="H142" s="188">
        <f>D142/$D$8*100</f>
        <v>1.8351000036342933E-3</v>
      </c>
      <c r="I142" s="205">
        <f>Таблица224627910121314574548[[#This Row],[Столбец3]]*12.7%</f>
        <v>0.38476428000000001</v>
      </c>
      <c r="J142" s="205"/>
      <c r="K142" s="225">
        <f>5498.2-Таблица224627910121314574548[[#This Row],[Столбец4]]</f>
        <v>5495.1703600000001</v>
      </c>
      <c r="L142" s="223"/>
      <c r="M142" s="223"/>
      <c r="N142" s="223"/>
    </row>
    <row r="143" spans="1:14" ht="21" x14ac:dyDescent="0.2">
      <c r="A143" s="151" t="s">
        <v>43</v>
      </c>
      <c r="B143" s="135">
        <f>B144</f>
        <v>4240.6018170000007</v>
      </c>
      <c r="C143" s="86">
        <f>C144</f>
        <v>6149.6</v>
      </c>
      <c r="D143" s="240">
        <f>D144</f>
        <v>5814.0566550000003</v>
      </c>
      <c r="E143" s="86">
        <f>Таблица224627910121314574548[[#This Row],[Столбец2]]-Таблица224627910121314574548[[#This Row],[Столбец3]]</f>
        <v>1573.4548379999997</v>
      </c>
      <c r="F143" s="135">
        <f>Таблица224627910121314574548[[#This Row],[Столбец2]]*100/Таблица224627910121314574548[[#This Row],[Столбец3]]-100</f>
        <v>37.104517375157258</v>
      </c>
      <c r="G143" s="135">
        <f t="shared" si="5"/>
        <v>2.9459875765049155</v>
      </c>
      <c r="H143" s="186">
        <f t="shared" si="6"/>
        <v>3.5216644184525179</v>
      </c>
      <c r="I143" s="205">
        <f>Таблица224627910121314574548[[#This Row],[Столбец3]]*12.7%</f>
        <v>538.55643075900014</v>
      </c>
      <c r="J143" s="205"/>
      <c r="K143" s="225">
        <f>5498.2-Таблица224627910121314574548[[#This Row],[Столбец4]]</f>
        <v>-651.40000000000055</v>
      </c>
      <c r="L143" s="223"/>
      <c r="M143" s="223"/>
      <c r="N143" s="223"/>
    </row>
    <row r="144" spans="1:14" ht="36" x14ac:dyDescent="0.2">
      <c r="A144" s="153" t="s">
        <v>94</v>
      </c>
      <c r="B144" s="134">
        <f>3860.601817+380</f>
        <v>4240.6018170000007</v>
      </c>
      <c r="C144" s="91">
        <v>6149.6</v>
      </c>
      <c r="D144" s="245">
        <v>5814.0566550000003</v>
      </c>
      <c r="E144" s="91">
        <f>Таблица224627910121314574548[[#This Row],[Столбец2]]-Таблица224627910121314574548[[#This Row],[Столбец3]]</f>
        <v>1573.4548379999997</v>
      </c>
      <c r="F144" s="134">
        <f>Таблица224627910121314574548[[#This Row],[Столбец2]]*100/Таблица224627910121314574548[[#This Row],[Столбец3]]-100</f>
        <v>37.104517375157258</v>
      </c>
      <c r="G144" s="134">
        <f t="shared" si="5"/>
        <v>2.9459875765049155</v>
      </c>
      <c r="H144" s="188">
        <f t="shared" si="6"/>
        <v>3.5216644184525179</v>
      </c>
      <c r="I144" s="205">
        <f>Таблица224627910121314574548[[#This Row],[Столбец3]]*12.7%</f>
        <v>538.55643075900014</v>
      </c>
      <c r="J144" s="205"/>
      <c r="K144" s="225">
        <f>5498.2-Таблица224627910121314574548[[#This Row],[Столбец4]]</f>
        <v>-651.40000000000055</v>
      </c>
      <c r="L144" s="223"/>
      <c r="M144" s="201" t="s">
        <v>123</v>
      </c>
      <c r="N144" s="223">
        <v>-30</v>
      </c>
    </row>
    <row r="145" spans="1:14" ht="21" x14ac:dyDescent="0.2">
      <c r="A145" s="148" t="s">
        <v>44</v>
      </c>
      <c r="B145" s="134">
        <v>380</v>
      </c>
      <c r="C145" s="91">
        <v>380</v>
      </c>
      <c r="D145" s="245">
        <v>180</v>
      </c>
      <c r="E145" s="91">
        <f>Таблица224627910121314574548[[#This Row],[Столбец2]]-Таблица224627910121314574548[[#This Row],[Столбец3]]</f>
        <v>-200</v>
      </c>
      <c r="F145" s="134">
        <f>Таблица224627910121314574548[[#This Row],[Столбец2]]*100/Таблица224627910121314574548[[#This Row],[Столбец3]]-100</f>
        <v>-52.631578947368418</v>
      </c>
      <c r="G145" s="134">
        <f t="shared" si="5"/>
        <v>0.2639897182951822</v>
      </c>
      <c r="H145" s="188">
        <f t="shared" si="6"/>
        <v>0.10902879571637976</v>
      </c>
      <c r="I145" s="205">
        <f>Таблица224627910121314574548[[#This Row],[Столбец3]]*12.7%</f>
        <v>48.26</v>
      </c>
      <c r="J145" s="205"/>
      <c r="K145" s="225">
        <f>5498.2-Таблица224627910121314574548[[#This Row],[Столбец4]]</f>
        <v>5118.2</v>
      </c>
      <c r="L145" s="223"/>
      <c r="M145" s="201" t="s">
        <v>124</v>
      </c>
      <c r="N145" s="223">
        <v>-200</v>
      </c>
    </row>
    <row r="146" spans="1:14" ht="21" x14ac:dyDescent="0.2">
      <c r="A146" s="156" t="s">
        <v>38</v>
      </c>
      <c r="B146" s="132">
        <f>1271.9+200</f>
        <v>1471.9</v>
      </c>
      <c r="C146" s="96">
        <f>1156.397+1988.216</f>
        <v>3144.6129999999998</v>
      </c>
      <c r="D146" s="243">
        <f>1156.397+1988.216</f>
        <v>3144.6129999999998</v>
      </c>
      <c r="E146" s="96">
        <f>Таблица224627910121314574548[[#This Row],[Столбец2]]-Таблица224627910121314574548[[#This Row],[Столбец3]]</f>
        <v>1672.7129999999997</v>
      </c>
      <c r="F146" s="132">
        <f>Таблица224627910121314574548[[#This Row],[Столбец2]]*100/Таблица224627910121314574548[[#This Row],[Столбец3]]-100</f>
        <v>113.6431143420069</v>
      </c>
      <c r="G146" s="132">
        <f t="shared" si="5"/>
        <v>1.0225433325228386</v>
      </c>
      <c r="H146" s="189">
        <f t="shared" si="6"/>
        <v>1.9047409354670672</v>
      </c>
      <c r="I146" s="205">
        <f>Таблица224627910121314574548[[#This Row],[Столбец3]]*12.7%</f>
        <v>186.93130000000002</v>
      </c>
      <c r="J146" s="205"/>
      <c r="K146" s="225">
        <f>5498.2-Таблица224627910121314574548[[#This Row],[Столбец4]]</f>
        <v>2353.587</v>
      </c>
      <c r="L146" s="223"/>
      <c r="M146" s="201" t="s">
        <v>125</v>
      </c>
      <c r="N146" s="223">
        <v>-110</v>
      </c>
    </row>
    <row r="147" spans="1:14" ht="36" x14ac:dyDescent="0.2">
      <c r="A147" s="156" t="s">
        <v>39</v>
      </c>
      <c r="B147" s="132">
        <v>106</v>
      </c>
      <c r="C147" s="96">
        <v>106</v>
      </c>
      <c r="D147" s="243">
        <v>106</v>
      </c>
      <c r="E147" s="96">
        <f>Таблица224627910121314574548[[#This Row],[Столбец2]]-Таблица224627910121314574548[[#This Row],[Столбец3]]</f>
        <v>0</v>
      </c>
      <c r="F147" s="132">
        <f>Таблица224627910121314574548[[#This Row],[Столбец2]]*100/Таблица224627910121314574548[[#This Row],[Столбец3]]-100</f>
        <v>0</v>
      </c>
      <c r="G147" s="132">
        <f t="shared" si="5"/>
        <v>7.3639237208656089E-2</v>
      </c>
      <c r="H147" s="189">
        <f t="shared" si="6"/>
        <v>6.4205846366312533E-2</v>
      </c>
      <c r="I147" s="205">
        <f>Таблица224627910121314574548[[#This Row],[Столбец3]]*12.7%</f>
        <v>13.462</v>
      </c>
      <c r="J147" s="205"/>
      <c r="K147" s="225">
        <f>5498.2-Таблица224627910121314574548[[#This Row],[Столбец4]]</f>
        <v>5392.2</v>
      </c>
      <c r="L147" s="223"/>
      <c r="M147" s="201" t="s">
        <v>126</v>
      </c>
      <c r="N147" s="223">
        <v>-20</v>
      </c>
    </row>
    <row r="148" spans="1:14" ht="21" x14ac:dyDescent="0.2">
      <c r="A148" s="156" t="s">
        <v>8</v>
      </c>
      <c r="B148" s="132">
        <f>B149+B150</f>
        <v>1109.8823639999998</v>
      </c>
      <c r="C148" s="96">
        <f>C149+C150</f>
        <v>1044.5939699999999</v>
      </c>
      <c r="D148" s="243">
        <f>D149+D150</f>
        <v>1044.5939699999999</v>
      </c>
      <c r="E148" s="96">
        <f>Таблица224627910121314574548[[#This Row],[Столбец2]]-Таблица224627910121314574548[[#This Row],[Столбец3]]</f>
        <v>-65.288393999999926</v>
      </c>
      <c r="F148" s="132">
        <f>Таблица224627910121314574548[[#This Row],[Столбец2]]*100/Таблица224627910121314574548[[#This Row],[Столбец3]]-100</f>
        <v>-5.8824607109443008</v>
      </c>
      <c r="G148" s="132">
        <f t="shared" si="5"/>
        <v>0.77104613845566006</v>
      </c>
      <c r="H148" s="189">
        <f t="shared" si="6"/>
        <v>0.63272679200940063</v>
      </c>
      <c r="I148" s="205">
        <f>Таблица224627910121314574548[[#This Row],[Столбец3]]*12.7%</f>
        <v>140.95506022799998</v>
      </c>
      <c r="J148" s="205"/>
      <c r="K148" s="225">
        <f>5498.2-Таблица224627910121314574548[[#This Row],[Столбец4]]</f>
        <v>4453.6060299999999</v>
      </c>
      <c r="L148" s="223"/>
      <c r="M148" s="223"/>
      <c r="N148" s="223"/>
    </row>
    <row r="149" spans="1:14" ht="21" x14ac:dyDescent="0.2">
      <c r="A149" s="156" t="s">
        <v>41</v>
      </c>
      <c r="B149" s="134">
        <v>74.819999999999993</v>
      </c>
      <c r="C149" s="91">
        <v>72.7</v>
      </c>
      <c r="D149" s="245">
        <v>72.7</v>
      </c>
      <c r="E149" s="91">
        <f>Таблица224627910121314574548[[#This Row],[Столбец2]]-Таблица224627910121314574548[[#This Row],[Столбец3]]</f>
        <v>-2.1199999999999903</v>
      </c>
      <c r="F149" s="134">
        <f>Таблица224627910121314574548[[#This Row],[Столбец2]]*100/Таблица224627910121314574548[[#This Row],[Столбец3]]-100</f>
        <v>-2.833466987436509</v>
      </c>
      <c r="G149" s="134">
        <f t="shared" si="5"/>
        <v>5.1978186112751387E-2</v>
      </c>
      <c r="H149" s="188">
        <f t="shared" si="6"/>
        <v>4.4035519158782274E-2</v>
      </c>
      <c r="I149" s="205">
        <f>Таблица224627910121314574548[[#This Row],[Столбец3]]*12.7%</f>
        <v>9.5021399999999989</v>
      </c>
      <c r="J149" s="205"/>
      <c r="K149" s="225">
        <f>5498.2-Таблица224627910121314574548[[#This Row],[Столбец4]]</f>
        <v>5425.5</v>
      </c>
      <c r="L149" s="223"/>
      <c r="M149" s="223"/>
      <c r="N149" s="223"/>
    </row>
    <row r="150" spans="1:14" ht="21" x14ac:dyDescent="0.2">
      <c r="A150" s="156" t="s">
        <v>40</v>
      </c>
      <c r="B150" s="132">
        <v>1035.0623639999999</v>
      </c>
      <c r="C150" s="96">
        <v>971.89396999999997</v>
      </c>
      <c r="D150" s="243">
        <v>971.89396999999997</v>
      </c>
      <c r="E150" s="96">
        <f>Таблица224627910121314574548[[#This Row],[Столбец2]]-Таблица224627910121314574548[[#This Row],[Столбец3]]</f>
        <v>-63.168393999999921</v>
      </c>
      <c r="F150" s="132">
        <f>Таблица224627910121314574548[[#This Row],[Столбец2]]*100/Таблица224627910121314574548[[#This Row],[Столбец3]]-100</f>
        <v>-6.1028587452340162</v>
      </c>
      <c r="G150" s="132">
        <f t="shared" si="5"/>
        <v>0.71906795234290866</v>
      </c>
      <c r="H150" s="189">
        <f t="shared" si="6"/>
        <v>0.5886912728506184</v>
      </c>
      <c r="I150" s="205">
        <f>Таблица224627910121314574548[[#This Row],[Столбец3]]*12.7%</f>
        <v>131.45292022799998</v>
      </c>
      <c r="J150" s="205"/>
      <c r="K150" s="225">
        <f>5498.2-Таблица224627910121314574548[[#This Row],[Столбец4]]</f>
        <v>4526.3060299999997</v>
      </c>
      <c r="L150" s="223"/>
      <c r="M150" s="223"/>
      <c r="N150" s="223"/>
    </row>
    <row r="151" spans="1:14" ht="29.25" customHeight="1" x14ac:dyDescent="0.2">
      <c r="A151" s="220" t="s">
        <v>42</v>
      </c>
      <c r="B151" s="221">
        <f>B12-B24</f>
        <v>-1151.5599270000093</v>
      </c>
      <c r="C151" s="221">
        <f>C12-C24</f>
        <v>-1969.5159559999956</v>
      </c>
      <c r="D151" s="221">
        <f>D12-D24</f>
        <v>-4001.0078020000001</v>
      </c>
      <c r="E151" s="221">
        <f>Таблица224627910121314574548[[#This Row],[Столбец2]]-Таблица224627910121314574548[[#This Row],[Столбец3]]</f>
        <v>-2849.4478749999907</v>
      </c>
      <c r="F151" s="221">
        <f>Таблица224627910121314574548[[#This Row],[Столбец2]]*100/Таблица224627910121314574548[[#This Row],[Столбец3]]-100</f>
        <v>247.44243075766286</v>
      </c>
      <c r="G151" s="221">
        <f t="shared" si="5"/>
        <v>-0.79999994928619222</v>
      </c>
      <c r="H151" s="222">
        <f t="shared" si="6"/>
        <v>-2.423472568354998</v>
      </c>
      <c r="I151" s="212">
        <f>Таблица224627910121314574548[[#This Row],[Столбец3]]*12.7%</f>
        <v>-146.24811072900118</v>
      </c>
      <c r="J151" s="212"/>
      <c r="K151" s="227">
        <f>5498.2-Таблица224627910121314574548[[#This Row],[Столбец4]]</f>
        <v>7467.7159559999955</v>
      </c>
      <c r="L151" s="223"/>
      <c r="M151" s="223"/>
      <c r="N151" s="223"/>
    </row>
    <row r="152" spans="1:14" ht="21" x14ac:dyDescent="0.2">
      <c r="A152" s="192"/>
      <c r="B152" s="132"/>
      <c r="C152" s="132"/>
      <c r="D152" s="199"/>
      <c r="E152" s="132"/>
      <c r="F152" s="135"/>
      <c r="G152" s="135"/>
      <c r="H152" s="193"/>
      <c r="I152" s="201">
        <f>Таблица224627910121314574548[[#This Row],[Столбец3]]*12.7%</f>
        <v>0</v>
      </c>
      <c r="J152" s="201"/>
      <c r="K152" s="223">
        <f>5498.2-Таблица224627910121314574548[[#This Row],[Столбец4]]</f>
        <v>5498.2</v>
      </c>
      <c r="L152" s="223"/>
      <c r="M152" s="223"/>
      <c r="N152" s="223"/>
    </row>
    <row r="153" spans="1:14" ht="42" x14ac:dyDescent="0.2">
      <c r="A153" s="214" t="s">
        <v>92</v>
      </c>
      <c r="B153" s="132"/>
      <c r="C153" s="132"/>
      <c r="D153" s="241">
        <f>D151+D155+D156</f>
        <v>-5582.5008319999997</v>
      </c>
      <c r="E153" s="132"/>
      <c r="F153" s="135"/>
      <c r="G153" s="135"/>
      <c r="H153" s="194"/>
      <c r="I153" s="201">
        <f>Таблица224627910121314574548[[#This Row],[Столбец3]]*12.7%</f>
        <v>0</v>
      </c>
      <c r="J153" s="201"/>
      <c r="K153" s="223">
        <f>5498.2-Таблица224627910121314574548[[#This Row],[Столбец4]]</f>
        <v>5498.2</v>
      </c>
      <c r="L153" s="223"/>
      <c r="M153" s="223"/>
      <c r="N153" s="223"/>
    </row>
    <row r="154" spans="1:14" ht="21" x14ac:dyDescent="0.2">
      <c r="A154" s="215" t="s">
        <v>93</v>
      </c>
      <c r="B154" s="132"/>
      <c r="C154" s="132"/>
      <c r="D154" s="199">
        <f>D153*100/D8</f>
        <v>-3.3814074599924893</v>
      </c>
      <c r="E154" s="132"/>
      <c r="F154" s="135"/>
      <c r="G154" s="135"/>
      <c r="H154" s="194"/>
      <c r="I154" s="201">
        <f>Таблица224627910121314574548[[#This Row],[Столбец3]]*12.7%</f>
        <v>0</v>
      </c>
      <c r="J154" s="201"/>
      <c r="K154" s="223">
        <f>5498.2-Таблица224627910121314574548[[#This Row],[Столбец4]]</f>
        <v>5498.2</v>
      </c>
      <c r="L154" s="223"/>
      <c r="M154" s="223"/>
      <c r="N154" s="223"/>
    </row>
    <row r="155" spans="1:14" ht="21" x14ac:dyDescent="0.2">
      <c r="A155" s="195" t="s">
        <v>68</v>
      </c>
      <c r="B155" s="132"/>
      <c r="C155" s="132"/>
      <c r="D155" s="199">
        <f>-5377.6+D146+D150</f>
        <v>-1261.0930300000005</v>
      </c>
      <c r="E155" s="132"/>
      <c r="F155" s="135"/>
      <c r="G155" s="135"/>
      <c r="H155" s="194"/>
      <c r="I155" s="201">
        <f>Таблица224627910121314574548[[#This Row],[Столбец3]]*12.7%</f>
        <v>0</v>
      </c>
      <c r="J155" s="201"/>
      <c r="K155" s="223">
        <f>5498.2-Таблица224627910121314574548[[#This Row],[Столбец4]]</f>
        <v>5498.2</v>
      </c>
      <c r="L155" s="223"/>
      <c r="M155" s="223"/>
      <c r="N155" s="223"/>
    </row>
    <row r="156" spans="1:14" ht="21" x14ac:dyDescent="0.2">
      <c r="A156" s="196" t="s">
        <v>69</v>
      </c>
      <c r="B156" s="197"/>
      <c r="C156" s="197"/>
      <c r="D156" s="242">
        <v>-320.39999999999998</v>
      </c>
      <c r="E156" s="197"/>
      <c r="F156" s="158"/>
      <c r="G156" s="158"/>
      <c r="H156" s="198"/>
      <c r="I156" s="201">
        <f>Таблица224627910121314574548[[#This Row],[Столбец3]]*12.7%</f>
        <v>0</v>
      </c>
      <c r="J156" s="201"/>
      <c r="K156" s="223">
        <f>5498.2-Таблица224627910121314574548[[#This Row],[Столбец4]]</f>
        <v>5498.2</v>
      </c>
      <c r="L156" s="223"/>
      <c r="M156" s="223"/>
      <c r="N156" s="223"/>
    </row>
    <row r="157" spans="1:14" ht="21" x14ac:dyDescent="0.2">
      <c r="A157" s="216"/>
      <c r="B157" s="10"/>
      <c r="C157" s="10"/>
    </row>
    <row r="158" spans="1:14" hidden="1" x14ac:dyDescent="0.2">
      <c r="D158" s="253">
        <f>D151+1650</f>
        <v>-2351.0078020000001</v>
      </c>
      <c r="H158" s="217"/>
    </row>
    <row r="159" spans="1:14" hidden="1" x14ac:dyDescent="0.2"/>
    <row r="160" spans="1:14" ht="42" x14ac:dyDescent="0.2">
      <c r="A160" s="214" t="s">
        <v>128</v>
      </c>
      <c r="B160" s="132"/>
      <c r="C160" s="132"/>
      <c r="D160" s="241">
        <f>D161-D162</f>
        <v>-5022.6478019999995</v>
      </c>
      <c r="E160" s="132"/>
      <c r="F160" s="135"/>
      <c r="G160" s="135"/>
      <c r="H160" s="194"/>
      <c r="I160" s="201" t="e">
        <f>Таблица224627910121314574548[[#This Row],[Столбец3]]*12.7%</f>
        <v>#VALUE!</v>
      </c>
      <c r="J160" s="201"/>
      <c r="K160" s="223" t="e">
        <f>5498.2-Таблица224627910121314574548[[#This Row],[Столбец4]]</f>
        <v>#VALUE!</v>
      </c>
      <c r="L160" s="223"/>
      <c r="M160" s="223"/>
      <c r="N160" s="223"/>
    </row>
    <row r="161" spans="1:14" ht="21" x14ac:dyDescent="0.2">
      <c r="A161" s="195" t="s">
        <v>129</v>
      </c>
      <c r="B161" s="132"/>
      <c r="C161" s="132"/>
      <c r="D161" s="199">
        <f>D12-D22</f>
        <v>42957.649200000007</v>
      </c>
      <c r="E161" s="132"/>
      <c r="F161" s="135"/>
      <c r="G161" s="135"/>
      <c r="H161" s="194"/>
      <c r="I161" s="201" t="e">
        <f>Таблица224627910121314574548[[#This Row],[Столбец3]]*12.7%</f>
        <v>#VALUE!</v>
      </c>
      <c r="J161" s="201"/>
      <c r="K161" s="223" t="e">
        <f>5498.2-Таблица224627910121314574548[[#This Row],[Столбец4]]</f>
        <v>#VALUE!</v>
      </c>
      <c r="L161" s="223"/>
      <c r="M161" s="223"/>
      <c r="N161" s="223"/>
    </row>
    <row r="162" spans="1:14" ht="21" x14ac:dyDescent="0.2">
      <c r="A162" s="196" t="s">
        <v>130</v>
      </c>
      <c r="B162" s="197"/>
      <c r="C162" s="197"/>
      <c r="D162" s="242">
        <f>D24-D146-D147</f>
        <v>47980.297002000007</v>
      </c>
      <c r="E162" s="197"/>
      <c r="F162" s="158"/>
      <c r="G162" s="158"/>
      <c r="H162" s="198"/>
      <c r="I162" s="201" t="e">
        <f>Таблица224627910121314574548[[#This Row],[Столбец3]]*12.7%</f>
        <v>#VALUE!</v>
      </c>
      <c r="J162" s="201"/>
      <c r="K162" s="223" t="e">
        <f>5498.2-Таблица224627910121314574548[[#This Row],[Столбец4]]</f>
        <v>#VALUE!</v>
      </c>
      <c r="L162" s="223"/>
      <c r="M162" s="223"/>
      <c r="N162" s="223"/>
    </row>
    <row r="163" spans="1:14" ht="21" x14ac:dyDescent="0.2">
      <c r="A163" s="215" t="s">
        <v>93</v>
      </c>
      <c r="B163" s="132"/>
      <c r="C163" s="132"/>
      <c r="D163" s="199">
        <f>D160*100/D8</f>
        <v>-3.0422957842198985</v>
      </c>
      <c r="E163" s="132"/>
      <c r="F163" s="135"/>
      <c r="G163" s="135"/>
      <c r="H163" s="194"/>
      <c r="I163" s="201" t="e">
        <f>Таблица224627910121314574548[[#This Row],[Столбец3]]*12.7%</f>
        <v>#VALUE!</v>
      </c>
      <c r="J163" s="201"/>
      <c r="K163" s="223" t="e">
        <f>5498.2-Таблица224627910121314574548[[#This Row],[Столбец4]]</f>
        <v>#VALUE!</v>
      </c>
      <c r="L163" s="223"/>
      <c r="M163" s="223"/>
      <c r="N163" s="223"/>
    </row>
    <row r="165" spans="1:14" x14ac:dyDescent="0.2">
      <c r="D165" s="253"/>
    </row>
    <row r="166" spans="1:14" x14ac:dyDescent="0.2">
      <c r="D166" s="253"/>
    </row>
  </sheetData>
  <mergeCells count="5">
    <mergeCell ref="B1:C1"/>
    <mergeCell ref="A4:H4"/>
    <mergeCell ref="E5:F5"/>
    <mergeCell ref="G5:H5"/>
    <mergeCell ref="G3:H3"/>
  </mergeCells>
  <pageMargins left="0.47244094488188981" right="0.31496062992125984" top="0.47244094488188981" bottom="0.43307086614173229" header="0.31496062992125984" footer="0.31496062992125984"/>
  <pageSetup paperSize="9" scale="90" fitToHeight="0" orientation="landscape" r:id="rId1"/>
  <headerFooter>
    <oddFooter>&amp;C&amp;P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20"/>
  <sheetViews>
    <sheetView view="pageBreakPreview" topLeftCell="A4" zoomScale="85" zoomScaleNormal="85" zoomScaleSheetLayoutView="85" workbookViewId="0">
      <selection activeCell="E7" sqref="E7"/>
    </sheetView>
  </sheetViews>
  <sheetFormatPr defaultColWidth="9.140625" defaultRowHeight="12.75" x14ac:dyDescent="0.2"/>
  <cols>
    <col min="1" max="1" width="58.5703125" style="257" customWidth="1"/>
    <col min="2" max="2" width="17.42578125" style="262" customWidth="1"/>
    <col min="3" max="3" width="17.42578125" style="261" customWidth="1"/>
    <col min="4" max="5" width="15.28515625" style="257" customWidth="1"/>
    <col min="6" max="7" width="12.28515625" style="257" customWidth="1"/>
    <col min="8" max="8" width="26.85546875" style="257" customWidth="1"/>
    <col min="9" max="9" width="17.42578125" style="257" customWidth="1"/>
    <col min="10" max="10" width="14.7109375" style="257" customWidth="1"/>
    <col min="11" max="11" width="16.5703125" style="257" customWidth="1"/>
    <col min="12" max="16384" width="9.140625" style="257"/>
  </cols>
  <sheetData>
    <row r="1" spans="1:8" ht="45.75" customHeight="1" x14ac:dyDescent="0.2">
      <c r="A1" s="303" t="s">
        <v>132</v>
      </c>
      <c r="B1" s="303"/>
      <c r="C1" s="303"/>
      <c r="D1" s="303"/>
      <c r="E1" s="303"/>
      <c r="F1" s="303"/>
      <c r="G1" s="303"/>
    </row>
    <row r="2" spans="1:8" ht="21.75" thickBot="1" x14ac:dyDescent="0.25">
      <c r="A2" s="255"/>
      <c r="B2" s="256"/>
      <c r="C2" s="35"/>
      <c r="D2" s="35"/>
      <c r="E2" s="255"/>
      <c r="F2" s="311" t="s">
        <v>84</v>
      </c>
      <c r="G2" s="311"/>
    </row>
    <row r="3" spans="1:8" ht="54.75" customHeight="1" thickBot="1" x14ac:dyDescent="0.25">
      <c r="A3" s="312" t="s">
        <v>57</v>
      </c>
      <c r="B3" s="313">
        <v>2026</v>
      </c>
      <c r="C3" s="313">
        <v>2027</v>
      </c>
      <c r="D3" s="313" t="s">
        <v>137</v>
      </c>
      <c r="E3" s="313" t="s">
        <v>136</v>
      </c>
      <c r="F3" s="313" t="s">
        <v>133</v>
      </c>
      <c r="G3" s="314" t="s">
        <v>134</v>
      </c>
    </row>
    <row r="4" spans="1:8" ht="21" x14ac:dyDescent="0.2">
      <c r="A4" s="315" t="s">
        <v>18</v>
      </c>
      <c r="B4" s="316">
        <v>187536</v>
      </c>
      <c r="C4" s="316">
        <v>211197</v>
      </c>
      <c r="D4" s="316" t="s">
        <v>61</v>
      </c>
      <c r="E4" s="316" t="s">
        <v>61</v>
      </c>
      <c r="F4" s="316" t="s">
        <v>61</v>
      </c>
      <c r="G4" s="317" t="s">
        <v>61</v>
      </c>
    </row>
    <row r="5" spans="1:8" ht="21" x14ac:dyDescent="0.2">
      <c r="A5" s="318" t="s">
        <v>15</v>
      </c>
      <c r="B5" s="167">
        <v>13.593467963705535</v>
      </c>
      <c r="C5" s="167">
        <v>12.616777578704898</v>
      </c>
      <c r="D5" s="167" t="s">
        <v>16</v>
      </c>
      <c r="E5" s="167" t="s">
        <v>16</v>
      </c>
      <c r="F5" s="167" t="s">
        <v>16</v>
      </c>
      <c r="G5" s="319" t="s">
        <v>16</v>
      </c>
    </row>
    <row r="6" spans="1:8" ht="21" x14ac:dyDescent="0.2">
      <c r="A6" s="318" t="s">
        <v>0</v>
      </c>
      <c r="B6" s="167">
        <v>8</v>
      </c>
      <c r="C6" s="167">
        <v>8.1999999999999993</v>
      </c>
      <c r="D6" s="167" t="s">
        <v>16</v>
      </c>
      <c r="E6" s="167" t="s">
        <v>16</v>
      </c>
      <c r="F6" s="167" t="s">
        <v>16</v>
      </c>
      <c r="G6" s="319" t="s">
        <v>16</v>
      </c>
    </row>
    <row r="7" spans="1:8" ht="21.75" thickBot="1" x14ac:dyDescent="0.25">
      <c r="A7" s="320" t="s">
        <v>9</v>
      </c>
      <c r="B7" s="321">
        <v>4.5</v>
      </c>
      <c r="C7" s="321">
        <v>4.2</v>
      </c>
      <c r="D7" s="321" t="s">
        <v>16</v>
      </c>
      <c r="E7" s="321" t="s">
        <v>16</v>
      </c>
      <c r="F7" s="321" t="s">
        <v>16</v>
      </c>
      <c r="G7" s="322" t="s">
        <v>16</v>
      </c>
    </row>
    <row r="8" spans="1:8" ht="42" x14ac:dyDescent="0.2">
      <c r="A8" s="315" t="s">
        <v>17</v>
      </c>
      <c r="B8" s="316">
        <v>53422.254802000003</v>
      </c>
      <c r="C8" s="316">
        <v>57626.266170999996</v>
      </c>
      <c r="D8" s="316">
        <v>7.8694008416181731</v>
      </c>
      <c r="E8" s="316">
        <v>4204.0113689999926</v>
      </c>
      <c r="F8" s="316">
        <v>28.486399838964253</v>
      </c>
      <c r="G8" s="317">
        <v>27.285551485579813</v>
      </c>
    </row>
    <row r="9" spans="1:8" ht="42" x14ac:dyDescent="0.2">
      <c r="A9" s="323" t="s">
        <v>24</v>
      </c>
      <c r="B9" s="296">
        <v>38556.599999000005</v>
      </c>
      <c r="C9" s="296">
        <v>43138.6</v>
      </c>
      <c r="D9" s="296">
        <v>11.883827933787813</v>
      </c>
      <c r="E9" s="296">
        <v>4582.0000009999931</v>
      </c>
      <c r="F9" s="296">
        <v>20.559572561534857</v>
      </c>
      <c r="G9" s="324">
        <v>20.425763623536319</v>
      </c>
    </row>
    <row r="10" spans="1:8" ht="21" x14ac:dyDescent="0.2">
      <c r="A10" s="325" t="s">
        <v>62</v>
      </c>
      <c r="B10" s="297">
        <v>35762.509056000003</v>
      </c>
      <c r="C10" s="297">
        <v>39900.234508000001</v>
      </c>
      <c r="D10" s="297">
        <v>11.570008819909134</v>
      </c>
      <c r="E10" s="297">
        <v>4137.7254519999988</v>
      </c>
      <c r="F10" s="167">
        <v>19.069676785257229</v>
      </c>
      <c r="G10" s="326">
        <v>18.892424848837816</v>
      </c>
    </row>
    <row r="11" spans="1:8" ht="21" x14ac:dyDescent="0.2">
      <c r="A11" s="325" t="s">
        <v>45</v>
      </c>
      <c r="B11" s="297">
        <v>2794.0909430000002</v>
      </c>
      <c r="C11" s="297">
        <v>3238.3654919999999</v>
      </c>
      <c r="D11" s="297">
        <v>15.900504244968644</v>
      </c>
      <c r="E11" s="297">
        <v>444.27454899999975</v>
      </c>
      <c r="F11" s="167">
        <v>1.4898957762776215</v>
      </c>
      <c r="G11" s="326">
        <v>1.5333387746985041</v>
      </c>
    </row>
    <row r="12" spans="1:8" ht="42" x14ac:dyDescent="0.2">
      <c r="A12" s="323" t="s">
        <v>135</v>
      </c>
      <c r="B12" s="296">
        <v>39185.007469000004</v>
      </c>
      <c r="C12" s="296">
        <v>43738.623332999996</v>
      </c>
      <c r="D12" s="296">
        <v>11.620811524924292</v>
      </c>
      <c r="E12" s="296">
        <v>4553.6158639999921</v>
      </c>
      <c r="F12" s="296">
        <v>20.894658875629215</v>
      </c>
      <c r="G12" s="324">
        <v>20.70986961604568</v>
      </c>
    </row>
    <row r="13" spans="1:8" ht="21" x14ac:dyDescent="0.2">
      <c r="A13" s="325" t="s">
        <v>62</v>
      </c>
      <c r="B13" s="297">
        <v>35762.509056000003</v>
      </c>
      <c r="C13" s="297">
        <v>39900.234508000001</v>
      </c>
      <c r="D13" s="297">
        <v>11.570008819909134</v>
      </c>
      <c r="E13" s="297">
        <v>4137.7254519999988</v>
      </c>
      <c r="F13" s="167">
        <v>19.069676785257229</v>
      </c>
      <c r="G13" s="326">
        <v>18.892424848837816</v>
      </c>
    </row>
    <row r="14" spans="1:8" ht="21" x14ac:dyDescent="0.2">
      <c r="A14" s="325" t="s">
        <v>45</v>
      </c>
      <c r="B14" s="297">
        <v>2794.0909430000002</v>
      </c>
      <c r="C14" s="297">
        <v>3238.3654919999999</v>
      </c>
      <c r="D14" s="297">
        <v>15.900504244968644</v>
      </c>
      <c r="E14" s="297">
        <v>444.27454899999975</v>
      </c>
      <c r="F14" s="167">
        <v>1.4898957762776215</v>
      </c>
      <c r="G14" s="326">
        <v>1.5333387746985041</v>
      </c>
      <c r="H14" s="258"/>
    </row>
    <row r="15" spans="1:8" ht="21" x14ac:dyDescent="0.2">
      <c r="A15" s="325" t="s">
        <v>25</v>
      </c>
      <c r="B15" s="297">
        <v>628.40746999999999</v>
      </c>
      <c r="C15" s="297">
        <v>600.02333299999998</v>
      </c>
      <c r="D15" s="297">
        <v>-4.5168363450549123</v>
      </c>
      <c r="E15" s="297">
        <v>-28.38413700000001</v>
      </c>
      <c r="F15" s="167">
        <v>0.33508631409436052</v>
      </c>
      <c r="G15" s="326">
        <v>0.28410599250936325</v>
      </c>
    </row>
    <row r="16" spans="1:8" ht="42" x14ac:dyDescent="0.2">
      <c r="A16" s="323" t="s">
        <v>20</v>
      </c>
      <c r="B16" s="296">
        <v>11207.347333</v>
      </c>
      <c r="C16" s="296">
        <v>10801.842838</v>
      </c>
      <c r="D16" s="296">
        <v>-3.6182022645625693</v>
      </c>
      <c r="E16" s="296">
        <v>-405.50449499999922</v>
      </c>
      <c r="F16" s="296">
        <v>5.9761044988695495</v>
      </c>
      <c r="G16" s="324">
        <v>5.1145815698139652</v>
      </c>
    </row>
    <row r="17" spans="1:13" ht="21" x14ac:dyDescent="0.2">
      <c r="A17" s="325" t="s">
        <v>21</v>
      </c>
      <c r="B17" s="297">
        <v>6109.2656079999997</v>
      </c>
      <c r="C17" s="297">
        <v>5274.9687620000004</v>
      </c>
      <c r="D17" s="297">
        <v>-13.65625427886944</v>
      </c>
      <c r="E17" s="297">
        <v>-834.29684599999928</v>
      </c>
      <c r="F17" s="297">
        <v>3.2576495222250661</v>
      </c>
      <c r="G17" s="326">
        <v>2.4976532630671842</v>
      </c>
    </row>
    <row r="18" spans="1:13" ht="21" x14ac:dyDescent="0.2">
      <c r="A18" s="325" t="s">
        <v>22</v>
      </c>
      <c r="B18" s="297">
        <v>5098.081725</v>
      </c>
      <c r="C18" s="297">
        <v>5526.8740760000001</v>
      </c>
      <c r="D18" s="297">
        <v>8.410856752203216</v>
      </c>
      <c r="E18" s="297">
        <v>428.79235100000005</v>
      </c>
      <c r="F18" s="297">
        <v>2.7184549766444843</v>
      </c>
      <c r="G18" s="326">
        <v>2.6169283067467815</v>
      </c>
    </row>
    <row r="19" spans="1:13" ht="42.75" thickBot="1" x14ac:dyDescent="0.25">
      <c r="A19" s="327" t="s">
        <v>23</v>
      </c>
      <c r="B19" s="328">
        <v>3029.9</v>
      </c>
      <c r="C19" s="328">
        <v>3085.8</v>
      </c>
      <c r="D19" s="328">
        <v>1.8449453777352574</v>
      </c>
      <c r="E19" s="328">
        <v>55.900000000000091</v>
      </c>
      <c r="F19" s="328">
        <v>1.6156364644654895</v>
      </c>
      <c r="G19" s="329">
        <v>1.4611002997201665</v>
      </c>
      <c r="H19" s="258"/>
      <c r="I19" s="258"/>
    </row>
    <row r="20" spans="1:13" ht="42" x14ac:dyDescent="0.2">
      <c r="A20" s="294" t="s">
        <v>51</v>
      </c>
      <c r="B20" s="295">
        <v>54922.514524999991</v>
      </c>
      <c r="C20" s="295">
        <v>59315.850616000003</v>
      </c>
      <c r="D20" s="295">
        <v>7.9991532234020752</v>
      </c>
      <c r="E20" s="295">
        <v>4393.3360910000119</v>
      </c>
      <c r="F20" s="295">
        <v>29.28638476079259</v>
      </c>
      <c r="G20" s="295">
        <v>28.085555484216162</v>
      </c>
      <c r="H20" s="259"/>
      <c r="I20" s="260"/>
      <c r="L20" s="260"/>
      <c r="M20" s="260"/>
    </row>
    <row r="21" spans="1:13" ht="21" x14ac:dyDescent="0.2">
      <c r="A21" s="298" t="s">
        <v>27</v>
      </c>
      <c r="B21" s="296">
        <v>40882.925108999996</v>
      </c>
      <c r="C21" s="296">
        <v>45626.448670999998</v>
      </c>
      <c r="D21" s="296">
        <v>11.602701003788397</v>
      </c>
      <c r="E21" s="296">
        <v>4743.5235620000021</v>
      </c>
      <c r="F21" s="296">
        <v>21.800041116905554</v>
      </c>
      <c r="G21" s="296">
        <v>21.603739007182867</v>
      </c>
      <c r="I21" s="260"/>
    </row>
    <row r="22" spans="1:13" ht="21" x14ac:dyDescent="0.2">
      <c r="A22" s="299" t="s">
        <v>33</v>
      </c>
      <c r="B22" s="297">
        <v>13180.484598000001</v>
      </c>
      <c r="C22" s="297">
        <v>13484.893982000001</v>
      </c>
      <c r="D22" s="297">
        <v>2.3095462214355393</v>
      </c>
      <c r="E22" s="297">
        <v>304.4093840000005</v>
      </c>
      <c r="F22" s="297">
        <v>7.0282423630662922</v>
      </c>
      <c r="G22" s="297">
        <v>6.3849836796924198</v>
      </c>
      <c r="I22" s="260"/>
    </row>
    <row r="23" spans="1:13" ht="21" x14ac:dyDescent="0.2">
      <c r="A23" s="299" t="s">
        <v>34</v>
      </c>
      <c r="B23" s="297">
        <v>5555.5927920000004</v>
      </c>
      <c r="C23" s="297">
        <v>6560.3866620000008</v>
      </c>
      <c r="D23" s="297">
        <v>18.086168436370897</v>
      </c>
      <c r="E23" s="297">
        <v>1004.7938700000004</v>
      </c>
      <c r="F23" s="297">
        <v>2.9624140389045306</v>
      </c>
      <c r="G23" s="297">
        <v>3.1062878080654559</v>
      </c>
      <c r="I23" s="260"/>
    </row>
    <row r="24" spans="1:13" ht="42" x14ac:dyDescent="0.2">
      <c r="A24" s="298" t="s">
        <v>32</v>
      </c>
      <c r="B24" s="296">
        <v>11207.347333</v>
      </c>
      <c r="C24" s="296">
        <v>10801.842838</v>
      </c>
      <c r="D24" s="296">
        <v>-3.6182022645625693</v>
      </c>
      <c r="E24" s="296">
        <v>-405.50449499999922</v>
      </c>
      <c r="F24" s="296">
        <v>5.9761044988695495</v>
      </c>
      <c r="G24" s="296">
        <v>5.1145815698139652</v>
      </c>
      <c r="I24" s="260"/>
    </row>
    <row r="25" spans="1:13" ht="21" x14ac:dyDescent="0.2">
      <c r="A25" s="299" t="s">
        <v>36</v>
      </c>
      <c r="B25" s="167">
        <v>5980.8730779999996</v>
      </c>
      <c r="C25" s="167">
        <v>5274.9687620000004</v>
      </c>
      <c r="D25" s="167">
        <v>-11.802696810213092</v>
      </c>
      <c r="E25" s="167">
        <v>-705.9043159999992</v>
      </c>
      <c r="F25" s="167">
        <v>3.1891866510963229</v>
      </c>
      <c r="G25" s="167">
        <v>2.4976532630671842</v>
      </c>
      <c r="I25" s="260"/>
    </row>
    <row r="26" spans="1:13" ht="21" x14ac:dyDescent="0.2">
      <c r="A26" s="299" t="s">
        <v>37</v>
      </c>
      <c r="B26" s="167">
        <v>5098.081725</v>
      </c>
      <c r="C26" s="167">
        <v>5526.8740760000001</v>
      </c>
      <c r="D26" s="167">
        <v>8.410856752203216</v>
      </c>
      <c r="E26" s="167">
        <v>428.79235100000005</v>
      </c>
      <c r="F26" s="167">
        <v>2.7184549766444843</v>
      </c>
      <c r="G26" s="167">
        <v>2.6169283067467815</v>
      </c>
      <c r="I26" s="260"/>
    </row>
    <row r="27" spans="1:13" ht="42" x14ac:dyDescent="0.2">
      <c r="A27" s="298" t="s">
        <v>29</v>
      </c>
      <c r="B27" s="296">
        <v>2832.2420830000001</v>
      </c>
      <c r="C27" s="296">
        <v>2887.559107</v>
      </c>
      <c r="D27" s="296">
        <v>1.9531177907435904</v>
      </c>
      <c r="E27" s="296">
        <v>55.317023999999947</v>
      </c>
      <c r="F27" s="296">
        <v>1.5102391450174901</v>
      </c>
      <c r="G27" s="296">
        <v>1.3672349072193259</v>
      </c>
      <c r="I27" s="260"/>
    </row>
    <row r="28" spans="1:13" ht="42" x14ac:dyDescent="0.2">
      <c r="A28" s="294" t="s">
        <v>12</v>
      </c>
      <c r="B28" s="295">
        <v>2298.5014929999998</v>
      </c>
      <c r="C28" s="295">
        <v>2340.8229609999999</v>
      </c>
      <c r="D28" s="295">
        <v>1.8412634548591029</v>
      </c>
      <c r="E28" s="295">
        <v>42.321468000000095</v>
      </c>
      <c r="F28" s="295">
        <v>1.2256321415621532</v>
      </c>
      <c r="G28" s="295">
        <v>1.1083599487682116</v>
      </c>
    </row>
    <row r="29" spans="1:13" ht="21" x14ac:dyDescent="0.2">
      <c r="A29" s="300" t="s">
        <v>27</v>
      </c>
      <c r="B29" s="167">
        <v>1706.8311160000001</v>
      </c>
      <c r="C29" s="167">
        <v>1714.3594119999998</v>
      </c>
      <c r="D29" s="167">
        <v>0.44106859368970674</v>
      </c>
      <c r="E29" s="167">
        <v>7.5282959999997274</v>
      </c>
      <c r="F29" s="167">
        <v>0.91013518257827819</v>
      </c>
      <c r="G29" s="167">
        <v>0.81173473676235919</v>
      </c>
    </row>
    <row r="30" spans="1:13" ht="21" x14ac:dyDescent="0.2">
      <c r="A30" s="299" t="s">
        <v>33</v>
      </c>
      <c r="B30" s="167">
        <v>833.88980000000004</v>
      </c>
      <c r="C30" s="167">
        <v>800.04980999999998</v>
      </c>
      <c r="D30" s="167">
        <v>-4.0580889705090613</v>
      </c>
      <c r="E30" s="167">
        <v>-33.839990000000057</v>
      </c>
      <c r="F30" s="167">
        <v>0.44465585274294001</v>
      </c>
      <c r="G30" s="167">
        <v>0.37881684398926119</v>
      </c>
    </row>
    <row r="31" spans="1:13" ht="21" x14ac:dyDescent="0.2">
      <c r="A31" s="299" t="s">
        <v>34</v>
      </c>
      <c r="B31" s="167">
        <v>154.3167</v>
      </c>
      <c r="C31" s="167">
        <v>207.0667</v>
      </c>
      <c r="D31" s="167">
        <v>34.182949739075553</v>
      </c>
      <c r="E31" s="167">
        <v>52.75</v>
      </c>
      <c r="F31" s="167">
        <v>8.2286441003327354E-2</v>
      </c>
      <c r="G31" s="167">
        <v>9.8044337751009736E-2</v>
      </c>
    </row>
    <row r="32" spans="1:13" ht="21" x14ac:dyDescent="0.2">
      <c r="A32" s="300" t="s">
        <v>28</v>
      </c>
      <c r="B32" s="167">
        <v>254.598916</v>
      </c>
      <c r="C32" s="167">
        <v>289.93516599999998</v>
      </c>
      <c r="D32" s="167">
        <v>13.87918320909111</v>
      </c>
      <c r="E32" s="167">
        <v>35.336249999999978</v>
      </c>
      <c r="F32" s="167">
        <v>0.13576002260899242</v>
      </c>
      <c r="G32" s="167">
        <v>0.13728185817033386</v>
      </c>
    </row>
    <row r="33" spans="1:7" ht="21" x14ac:dyDescent="0.2">
      <c r="A33" s="300" t="s">
        <v>29</v>
      </c>
      <c r="B33" s="167">
        <v>337.071461</v>
      </c>
      <c r="C33" s="167">
        <v>336.52838300000002</v>
      </c>
      <c r="D33" s="167">
        <v>-0.16111657699788395</v>
      </c>
      <c r="E33" s="167">
        <v>-0.54307799999997997</v>
      </c>
      <c r="F33" s="167">
        <v>0.17973693637488269</v>
      </c>
      <c r="G33" s="167">
        <v>0.15934335383551851</v>
      </c>
    </row>
    <row r="34" spans="1:7" ht="42" x14ac:dyDescent="0.2">
      <c r="A34" s="294" t="s">
        <v>30</v>
      </c>
      <c r="B34" s="295">
        <v>4821.26541</v>
      </c>
      <c r="C34" s="295">
        <v>5043.6580599999998</v>
      </c>
      <c r="D34" s="295">
        <v>4.6127443956668515</v>
      </c>
      <c r="E34" s="295">
        <v>222.39264999999978</v>
      </c>
      <c r="F34" s="295">
        <v>2.5708479491937548</v>
      </c>
      <c r="G34" s="295">
        <v>2.3881295946438632</v>
      </c>
    </row>
    <row r="35" spans="1:7" ht="21" x14ac:dyDescent="0.2">
      <c r="A35" s="300" t="s">
        <v>27</v>
      </c>
      <c r="B35" s="167">
        <v>4320.65859</v>
      </c>
      <c r="C35" s="167">
        <v>4512.062379</v>
      </c>
      <c r="D35" s="167">
        <v>4.4299679091284219</v>
      </c>
      <c r="E35" s="167">
        <v>191.40378899999996</v>
      </c>
      <c r="F35" s="167">
        <v>2.3039088974916817</v>
      </c>
      <c r="G35" s="167">
        <v>2.1364235187999832</v>
      </c>
    </row>
    <row r="36" spans="1:7" ht="21" x14ac:dyDescent="0.2">
      <c r="A36" s="299" t="s">
        <v>33</v>
      </c>
      <c r="B36" s="167">
        <v>1875.6523589999999</v>
      </c>
      <c r="C36" s="167">
        <v>1928.220597</v>
      </c>
      <c r="D36" s="167">
        <v>2.8026642436035871</v>
      </c>
      <c r="E36" s="167">
        <v>52.568238000000065</v>
      </c>
      <c r="F36" s="167">
        <v>1.0001558948681852</v>
      </c>
      <c r="G36" s="167">
        <v>0.9129962059120158</v>
      </c>
    </row>
    <row r="37" spans="1:7" ht="21" x14ac:dyDescent="0.2">
      <c r="A37" s="299" t="s">
        <v>34</v>
      </c>
      <c r="B37" s="167">
        <v>384.10399999999998</v>
      </c>
      <c r="C37" s="167">
        <v>507.45400000000001</v>
      </c>
      <c r="D37" s="167">
        <v>32.113698373357238</v>
      </c>
      <c r="E37" s="167">
        <v>123.35000000000002</v>
      </c>
      <c r="F37" s="167">
        <v>0.20481614196740891</v>
      </c>
      <c r="G37" s="167">
        <v>0.2402751933029352</v>
      </c>
    </row>
    <row r="38" spans="1:7" ht="21" x14ac:dyDescent="0.2">
      <c r="A38" s="300" t="s">
        <v>28</v>
      </c>
      <c r="B38" s="167">
        <v>101.86281200000001</v>
      </c>
      <c r="C38" s="167">
        <v>119.336924</v>
      </c>
      <c r="D38" s="167">
        <v>17.154554892908308</v>
      </c>
      <c r="E38" s="167">
        <v>17.474111999999991</v>
      </c>
      <c r="F38" s="167">
        <v>5.4316404317037804E-2</v>
      </c>
      <c r="G38" s="167">
        <v>5.6505028007026614E-2</v>
      </c>
    </row>
    <row r="39" spans="1:7" ht="21" x14ac:dyDescent="0.2">
      <c r="A39" s="300" t="s">
        <v>29</v>
      </c>
      <c r="B39" s="167">
        <v>398.74400800000001</v>
      </c>
      <c r="C39" s="167">
        <v>412.258757</v>
      </c>
      <c r="D39" s="167">
        <v>3.3893296774004398</v>
      </c>
      <c r="E39" s="167">
        <v>13.514748999999995</v>
      </c>
      <c r="F39" s="167">
        <v>0.21262264738503542</v>
      </c>
      <c r="G39" s="167">
        <v>0.19520104783685374</v>
      </c>
    </row>
    <row r="40" spans="1:7" ht="21" x14ac:dyDescent="0.2">
      <c r="A40" s="294" t="s">
        <v>31</v>
      </c>
      <c r="B40" s="295">
        <v>25615.104444000001</v>
      </c>
      <c r="C40" s="295">
        <v>27559.029413</v>
      </c>
      <c r="D40" s="295">
        <v>7.5889792807592329</v>
      </c>
      <c r="E40" s="295">
        <v>1943.9249689999997</v>
      </c>
      <c r="F40" s="295">
        <v>13.658766553621703</v>
      </c>
      <c r="G40" s="295">
        <v>13.048968220666012</v>
      </c>
    </row>
    <row r="41" spans="1:7" ht="21" x14ac:dyDescent="0.2">
      <c r="A41" s="300" t="s">
        <v>27</v>
      </c>
      <c r="B41" s="167">
        <v>22138.195317999998</v>
      </c>
      <c r="C41" s="167">
        <v>24278.978636</v>
      </c>
      <c r="D41" s="167">
        <v>9.6700895770821376</v>
      </c>
      <c r="E41" s="167">
        <v>2140.7833180000016</v>
      </c>
      <c r="F41" s="167">
        <v>11.804770986903847</v>
      </c>
      <c r="G41" s="167">
        <v>11.495891814751156</v>
      </c>
    </row>
    <row r="42" spans="1:7" ht="21" x14ac:dyDescent="0.2">
      <c r="A42" s="299" t="s">
        <v>33</v>
      </c>
      <c r="B42" s="297">
        <v>9594.744256</v>
      </c>
      <c r="C42" s="297">
        <v>9631.1365610000012</v>
      </c>
      <c r="D42" s="297">
        <v>0.3792941638568692</v>
      </c>
      <c r="E42" s="297">
        <v>36.392305000001215</v>
      </c>
      <c r="F42" s="167">
        <v>5.1162146233256545</v>
      </c>
      <c r="G42" s="297">
        <v>4.5602620117710009</v>
      </c>
    </row>
    <row r="43" spans="1:7" ht="21" x14ac:dyDescent="0.2">
      <c r="A43" s="299" t="s">
        <v>34</v>
      </c>
      <c r="B43" s="297">
        <v>1424.5219</v>
      </c>
      <c r="C43" s="297">
        <v>1607.0319</v>
      </c>
      <c r="D43" s="297">
        <v>12.812017842617934</v>
      </c>
      <c r="E43" s="297">
        <v>182.51</v>
      </c>
      <c r="F43" s="167">
        <v>0.75959917029263713</v>
      </c>
      <c r="G43" s="297">
        <v>0.76091606414863844</v>
      </c>
    </row>
    <row r="44" spans="1:7" ht="21" x14ac:dyDescent="0.2">
      <c r="A44" s="300" t="s">
        <v>28</v>
      </c>
      <c r="B44" s="167">
        <v>1531.8179799999998</v>
      </c>
      <c r="C44" s="167">
        <v>1298.4594400000001</v>
      </c>
      <c r="D44" s="167">
        <v>-15.234090671791151</v>
      </c>
      <c r="E44" s="167">
        <v>-233.35853999999972</v>
      </c>
      <c r="F44" s="167">
        <v>0.81681276128316682</v>
      </c>
      <c r="G44" s="167">
        <v>0.61480960430309139</v>
      </c>
    </row>
    <row r="45" spans="1:7" ht="21" x14ac:dyDescent="0.2">
      <c r="A45" s="300" t="s">
        <v>29</v>
      </c>
      <c r="B45" s="167">
        <v>1945.0911459999998</v>
      </c>
      <c r="C45" s="167">
        <v>1981.5913370000001</v>
      </c>
      <c r="D45" s="167">
        <v>1.8765285665436124</v>
      </c>
      <c r="E45" s="167">
        <v>36.500191000000314</v>
      </c>
      <c r="F45" s="167">
        <v>1.0371828054346899</v>
      </c>
      <c r="G45" s="167">
        <v>0.93826680161176546</v>
      </c>
    </row>
    <row r="46" spans="1:7" ht="21" x14ac:dyDescent="0.2">
      <c r="A46" s="294" t="s">
        <v>2</v>
      </c>
      <c r="B46" s="295">
        <v>11896.109809</v>
      </c>
      <c r="C46" s="295">
        <v>13049.322007999999</v>
      </c>
      <c r="D46" s="295">
        <v>9.6940278588176625</v>
      </c>
      <c r="E46" s="295">
        <v>1153.2121989999996</v>
      </c>
      <c r="F46" s="295">
        <v>6.3433739703310303</v>
      </c>
      <c r="G46" s="295">
        <v>6.1787440200381631</v>
      </c>
    </row>
    <row r="47" spans="1:7" ht="21" x14ac:dyDescent="0.2">
      <c r="A47" s="300" t="s">
        <v>27</v>
      </c>
      <c r="B47" s="167">
        <v>9619.9232119999997</v>
      </c>
      <c r="C47" s="167">
        <v>10915.625780999999</v>
      </c>
      <c r="D47" s="167">
        <v>13.468949184373173</v>
      </c>
      <c r="E47" s="167">
        <v>1295.7025689999991</v>
      </c>
      <c r="F47" s="167">
        <v>5.1296408220288372</v>
      </c>
      <c r="G47" s="167">
        <v>5.168456834614128</v>
      </c>
    </row>
    <row r="48" spans="1:7" ht="21" x14ac:dyDescent="0.2">
      <c r="A48" s="299" t="s">
        <v>33</v>
      </c>
      <c r="B48" s="168">
        <v>6428.3529699999999</v>
      </c>
      <c r="C48" s="168">
        <v>6412.8338329999997</v>
      </c>
      <c r="D48" s="167">
        <v>-0.24141700171762182</v>
      </c>
      <c r="E48" s="167">
        <v>-15.519137000000228</v>
      </c>
      <c r="F48" s="167">
        <v>3.4277967803515059</v>
      </c>
      <c r="G48" s="167">
        <v>3.0364227867820093</v>
      </c>
    </row>
    <row r="49" spans="1:9" ht="21" x14ac:dyDescent="0.2">
      <c r="A49" s="299" t="s">
        <v>34</v>
      </c>
      <c r="B49" s="167">
        <v>520.47389999999996</v>
      </c>
      <c r="C49" s="167">
        <v>605.52390000000003</v>
      </c>
      <c r="D49" s="167">
        <v>16.340877035332625</v>
      </c>
      <c r="E49" s="167">
        <v>85.050000000000068</v>
      </c>
      <c r="F49" s="167">
        <v>0.27753279370360884</v>
      </c>
      <c r="G49" s="167">
        <v>0.28671046463728178</v>
      </c>
    </row>
    <row r="50" spans="1:9" ht="21" x14ac:dyDescent="0.2">
      <c r="A50" s="300" t="s">
        <v>28</v>
      </c>
      <c r="B50" s="167">
        <v>1004.856008</v>
      </c>
      <c r="C50" s="167">
        <v>851.193175</v>
      </c>
      <c r="D50" s="167">
        <v>-15.29202510375994</v>
      </c>
      <c r="E50" s="167">
        <v>-153.66283299999998</v>
      </c>
      <c r="F50" s="167">
        <v>0.53582032676392799</v>
      </c>
      <c r="G50" s="167">
        <v>0.40303279639388823</v>
      </c>
    </row>
    <row r="51" spans="1:9" ht="21" x14ac:dyDescent="0.2">
      <c r="A51" s="300" t="s">
        <v>29</v>
      </c>
      <c r="B51" s="167">
        <v>1271.3305889999999</v>
      </c>
      <c r="C51" s="167">
        <v>1282.503052</v>
      </c>
      <c r="D51" s="167">
        <v>0.87880076957702613</v>
      </c>
      <c r="E51" s="167">
        <v>11.172463000000107</v>
      </c>
      <c r="F51" s="167">
        <v>0.6779128215382646</v>
      </c>
      <c r="G51" s="167">
        <v>0.60725438903014717</v>
      </c>
    </row>
    <row r="52" spans="1:9" ht="21" x14ac:dyDescent="0.2">
      <c r="A52" s="294" t="s">
        <v>47</v>
      </c>
      <c r="B52" s="295">
        <v>4710.6657679999998</v>
      </c>
      <c r="C52" s="295">
        <v>5152.0014899999996</v>
      </c>
      <c r="D52" s="295">
        <v>9.368860873085822</v>
      </c>
      <c r="E52" s="295">
        <v>441.33572199999981</v>
      </c>
      <c r="F52" s="295">
        <v>2.5118727966897021</v>
      </c>
      <c r="G52" s="295">
        <v>2.43942929587068</v>
      </c>
    </row>
    <row r="53" spans="1:9" ht="21" x14ac:dyDescent="0.2">
      <c r="A53" s="300" t="s">
        <v>27</v>
      </c>
      <c r="B53" s="167">
        <v>3957.7999319999999</v>
      </c>
      <c r="C53" s="167">
        <v>4460.6012259999998</v>
      </c>
      <c r="D53" s="167">
        <v>12.704060403223025</v>
      </c>
      <c r="E53" s="167">
        <v>502.80129399999987</v>
      </c>
      <c r="F53" s="167">
        <v>2.1104214294855388</v>
      </c>
      <c r="G53" s="167">
        <v>2.1120570964549685</v>
      </c>
    </row>
    <row r="54" spans="1:9" ht="21" x14ac:dyDescent="0.2">
      <c r="A54" s="299" t="s">
        <v>33</v>
      </c>
      <c r="B54" s="167">
        <v>2668.241317</v>
      </c>
      <c r="C54" s="167">
        <v>2715.4947710000001</v>
      </c>
      <c r="D54" s="167">
        <v>1.7709587846847654</v>
      </c>
      <c r="E54" s="167">
        <v>47.253454000000147</v>
      </c>
      <c r="F54" s="167">
        <v>1.4227888602721612</v>
      </c>
      <c r="G54" s="167">
        <v>1.2857638939000082</v>
      </c>
      <c r="I54" s="258"/>
    </row>
    <row r="55" spans="1:9" ht="21" x14ac:dyDescent="0.2">
      <c r="A55" s="299" t="s">
        <v>34</v>
      </c>
      <c r="B55" s="167">
        <v>174.36199999999999</v>
      </c>
      <c r="C55" s="167">
        <v>224.27199999999999</v>
      </c>
      <c r="D55" s="167">
        <v>28.624356224406682</v>
      </c>
      <c r="E55" s="167">
        <v>49.91</v>
      </c>
      <c r="F55" s="167">
        <v>9.2975215425304999E-2</v>
      </c>
      <c r="G55" s="167">
        <v>0.10619090233289299</v>
      </c>
    </row>
    <row r="56" spans="1:9" ht="21" x14ac:dyDescent="0.2">
      <c r="A56" s="300" t="s">
        <v>28</v>
      </c>
      <c r="B56" s="167">
        <v>325.04859499999998</v>
      </c>
      <c r="C56" s="167">
        <v>249.70676700000001</v>
      </c>
      <c r="D56" s="167">
        <v>-23.178635182225591</v>
      </c>
      <c r="E56" s="167">
        <v>-75.341827999999964</v>
      </c>
      <c r="F56" s="167">
        <v>0.17332597208002731</v>
      </c>
      <c r="G56" s="167">
        <v>0.11823405019957671</v>
      </c>
    </row>
    <row r="57" spans="1:9" ht="21" x14ac:dyDescent="0.2">
      <c r="A57" s="300" t="s">
        <v>29</v>
      </c>
      <c r="B57" s="167">
        <v>427.81724100000002</v>
      </c>
      <c r="C57" s="167">
        <v>441.69349699999998</v>
      </c>
      <c r="D57" s="167">
        <v>3.2435008854633622</v>
      </c>
      <c r="E57" s="167">
        <v>13.876255999999955</v>
      </c>
      <c r="F57" s="167">
        <v>0.22812539512413618</v>
      </c>
      <c r="G57" s="167">
        <v>0.20913814921613472</v>
      </c>
    </row>
    <row r="58" spans="1:9" ht="21" x14ac:dyDescent="0.2">
      <c r="A58" s="294" t="s">
        <v>3</v>
      </c>
      <c r="B58" s="295">
        <v>7169.8164569999999</v>
      </c>
      <c r="C58" s="295">
        <v>7391.5724980000005</v>
      </c>
      <c r="D58" s="295">
        <v>3.0929109877491499</v>
      </c>
      <c r="E58" s="295">
        <v>221.75604100000055</v>
      </c>
      <c r="F58" s="295">
        <v>3.8231680621320709</v>
      </c>
      <c r="G58" s="295">
        <v>3.4998472980203319</v>
      </c>
    </row>
    <row r="59" spans="1:9" ht="21" x14ac:dyDescent="0.2">
      <c r="A59" s="300" t="s">
        <v>27</v>
      </c>
      <c r="B59" s="167">
        <v>6841.26613</v>
      </c>
      <c r="C59" s="167">
        <v>7124.7397070000006</v>
      </c>
      <c r="D59" s="167">
        <v>4.143583535757017</v>
      </c>
      <c r="E59" s="167">
        <v>283.47357700000066</v>
      </c>
      <c r="F59" s="167">
        <v>3.6479748581605667</v>
      </c>
      <c r="G59" s="167">
        <v>3.3735042197569101</v>
      </c>
    </row>
    <row r="60" spans="1:9" ht="21" x14ac:dyDescent="0.2">
      <c r="A60" s="299" t="s">
        <v>33</v>
      </c>
      <c r="B60" s="167">
        <v>141.90509900000001</v>
      </c>
      <c r="C60" s="167">
        <v>146.710971</v>
      </c>
      <c r="D60" s="167">
        <v>3.3866802770772892</v>
      </c>
      <c r="E60" s="167">
        <v>4.8058719999999937</v>
      </c>
      <c r="F60" s="167">
        <v>7.5668191173961272E-2</v>
      </c>
      <c r="G60" s="167">
        <v>6.9466408613758718E-2</v>
      </c>
    </row>
    <row r="61" spans="1:9" ht="21" x14ac:dyDescent="0.2">
      <c r="A61" s="299" t="s">
        <v>34</v>
      </c>
      <c r="B61" s="167">
        <v>25.2</v>
      </c>
      <c r="C61" s="167">
        <v>26.2</v>
      </c>
      <c r="D61" s="167">
        <v>3.9682539682539755</v>
      </c>
      <c r="E61" s="167">
        <v>1</v>
      </c>
      <c r="F61" s="167">
        <v>1.3437420015357051E-2</v>
      </c>
      <c r="G61" s="167">
        <v>1.2405479244496843E-2</v>
      </c>
    </row>
    <row r="62" spans="1:9" ht="21" x14ac:dyDescent="0.2">
      <c r="A62" s="300" t="s">
        <v>28</v>
      </c>
      <c r="B62" s="167">
        <v>139.21975399999999</v>
      </c>
      <c r="C62" s="167">
        <v>66.627498000000003</v>
      </c>
      <c r="D62" s="167">
        <v>-52.142209646484503</v>
      </c>
      <c r="E62" s="167">
        <v>-72.592255999999992</v>
      </c>
      <c r="F62" s="167">
        <v>7.423628210050337E-2</v>
      </c>
      <c r="G62" s="167">
        <v>3.1547558914189124E-2</v>
      </c>
    </row>
    <row r="63" spans="1:9" ht="21" x14ac:dyDescent="0.2">
      <c r="A63" s="300" t="s">
        <v>29</v>
      </c>
      <c r="B63" s="167">
        <v>189.33057299999999</v>
      </c>
      <c r="C63" s="167">
        <v>200.20529300000001</v>
      </c>
      <c r="D63" s="167">
        <v>5.7437738806188605</v>
      </c>
      <c r="E63" s="167">
        <v>10.874720000000025</v>
      </c>
      <c r="F63" s="167">
        <v>0.10095692187100076</v>
      </c>
      <c r="G63" s="167">
        <v>9.4795519349233193E-2</v>
      </c>
    </row>
    <row r="64" spans="1:9" ht="21" x14ac:dyDescent="0.2">
      <c r="A64" s="294" t="s">
        <v>10</v>
      </c>
      <c r="B64" s="295">
        <v>1838.51241</v>
      </c>
      <c r="C64" s="295">
        <v>1966.1334170000002</v>
      </c>
      <c r="D64" s="295">
        <v>6.9415363369780039</v>
      </c>
      <c r="E64" s="295">
        <v>127.62100700000019</v>
      </c>
      <c r="F64" s="295">
        <v>0.98035172446890206</v>
      </c>
      <c r="G64" s="295">
        <v>0.93094760673683818</v>
      </c>
    </row>
    <row r="65" spans="1:7" ht="21" x14ac:dyDescent="0.2">
      <c r="A65" s="300" t="s">
        <v>27</v>
      </c>
      <c r="B65" s="167">
        <v>1719.206044</v>
      </c>
      <c r="C65" s="167">
        <v>1778.0119220000001</v>
      </c>
      <c r="D65" s="167">
        <v>3.4205253177902506</v>
      </c>
      <c r="E65" s="167">
        <v>58.805878000000121</v>
      </c>
      <c r="F65" s="167">
        <v>0.91673387722890542</v>
      </c>
      <c r="G65" s="167">
        <v>0.84187366392515051</v>
      </c>
    </row>
    <row r="66" spans="1:7" ht="21" x14ac:dyDescent="0.2">
      <c r="A66" s="299" t="s">
        <v>33</v>
      </c>
      <c r="B66" s="167">
        <v>356.24486999999999</v>
      </c>
      <c r="C66" s="167">
        <v>356.09698600000002</v>
      </c>
      <c r="D66" s="167">
        <v>-4.1511896016913852E-2</v>
      </c>
      <c r="E66" s="167">
        <v>-0.14788399999997637</v>
      </c>
      <c r="F66" s="167">
        <v>0.18996079152802661</v>
      </c>
      <c r="G66" s="167">
        <v>0.16860892247522458</v>
      </c>
    </row>
    <row r="67" spans="1:7" ht="21" x14ac:dyDescent="0.2">
      <c r="A67" s="299" t="s">
        <v>34</v>
      </c>
      <c r="B67" s="167">
        <v>704.48599999999999</v>
      </c>
      <c r="C67" s="167">
        <v>751.03599999999994</v>
      </c>
      <c r="D67" s="167">
        <v>6.6076543749627348</v>
      </c>
      <c r="E67" s="167">
        <v>46.549999999999955</v>
      </c>
      <c r="F67" s="167">
        <v>0.37565374114836619</v>
      </c>
      <c r="G67" s="167">
        <v>0.35560921793396683</v>
      </c>
    </row>
    <row r="68" spans="1:7" ht="21" x14ac:dyDescent="0.2">
      <c r="A68" s="300" t="s">
        <v>28</v>
      </c>
      <c r="B68" s="167">
        <v>62.693623000000002</v>
      </c>
      <c r="C68" s="167">
        <v>130.93199999999999</v>
      </c>
      <c r="D68" s="167">
        <v>108.84420732871027</v>
      </c>
      <c r="E68" s="167">
        <v>68.238376999999986</v>
      </c>
      <c r="F68" s="167">
        <v>3.3430180338708308E-2</v>
      </c>
      <c r="G68" s="167">
        <v>6.1995198795437433E-2</v>
      </c>
    </row>
    <row r="69" spans="1:7" ht="21" x14ac:dyDescent="0.2">
      <c r="A69" s="300" t="s">
        <v>29</v>
      </c>
      <c r="B69" s="167">
        <v>56.612743000000002</v>
      </c>
      <c r="C69" s="167">
        <v>57.189495000000001</v>
      </c>
      <c r="D69" s="167">
        <v>1.0187670998382856</v>
      </c>
      <c r="E69" s="167">
        <v>0.57675199999999904</v>
      </c>
      <c r="F69" s="167">
        <v>3.0187666901288289E-2</v>
      </c>
      <c r="G69" s="167">
        <v>2.7078744016250229E-2</v>
      </c>
    </row>
    <row r="70" spans="1:7" ht="21" x14ac:dyDescent="0.2">
      <c r="A70" s="294" t="s">
        <v>13</v>
      </c>
      <c r="B70" s="295">
        <v>15595.743177999999</v>
      </c>
      <c r="C70" s="295">
        <v>16701.740181999998</v>
      </c>
      <c r="D70" s="295">
        <v>7.0916595084751179</v>
      </c>
      <c r="E70" s="295">
        <v>1105.9970039999989</v>
      </c>
      <c r="F70" s="295">
        <v>8.3161329973978315</v>
      </c>
      <c r="G70" s="295">
        <v>7.9081332509457978</v>
      </c>
    </row>
    <row r="71" spans="1:7" ht="21" x14ac:dyDescent="0.2">
      <c r="A71" s="300" t="s">
        <v>27</v>
      </c>
      <c r="B71" s="167">
        <v>6125.3400849999998</v>
      </c>
      <c r="C71" s="167">
        <v>7450.4482440000002</v>
      </c>
      <c r="D71" s="167">
        <v>21.633217757900212</v>
      </c>
      <c r="E71" s="167">
        <v>1325.1081590000003</v>
      </c>
      <c r="F71" s="167">
        <v>3.2662209309145975</v>
      </c>
      <c r="G71" s="167">
        <v>3.527724467677098</v>
      </c>
    </row>
    <row r="72" spans="1:7" ht="21" x14ac:dyDescent="0.2">
      <c r="A72" s="299" t="s">
        <v>33</v>
      </c>
      <c r="B72" s="167">
        <v>526.19818299999997</v>
      </c>
      <c r="C72" s="167">
        <v>525.48701400000004</v>
      </c>
      <c r="D72" s="167">
        <v>-0.13515231009452577</v>
      </c>
      <c r="E72" s="167">
        <v>-0.71116899999992711</v>
      </c>
      <c r="F72" s="167">
        <v>0.28058515858288541</v>
      </c>
      <c r="G72" s="167">
        <v>0.24881367348968028</v>
      </c>
    </row>
    <row r="73" spans="1:7" ht="21" x14ac:dyDescent="0.2">
      <c r="A73" s="299" t="s">
        <v>34</v>
      </c>
      <c r="B73" s="167">
        <v>3592.6501920000005</v>
      </c>
      <c r="C73" s="167">
        <v>4238.8340620000008</v>
      </c>
      <c r="D73" s="167">
        <v>17.986272959134794</v>
      </c>
      <c r="E73" s="167">
        <v>646.1838700000003</v>
      </c>
      <c r="F73" s="167">
        <v>1.9157122856411573</v>
      </c>
      <c r="G73" s="167">
        <v>2.0070522128628725</v>
      </c>
    </row>
    <row r="74" spans="1:7" ht="21" x14ac:dyDescent="0.2">
      <c r="A74" s="300" t="s">
        <v>28</v>
      </c>
      <c r="B74" s="167">
        <v>9319.0676249999997</v>
      </c>
      <c r="C74" s="167">
        <v>9094.1113079999996</v>
      </c>
      <c r="D74" s="167">
        <v>-2.4139358791271803</v>
      </c>
      <c r="E74" s="167">
        <v>-224.95631700000013</v>
      </c>
      <c r="F74" s="167">
        <v>4.9692153106603527</v>
      </c>
      <c r="G74" s="167">
        <v>4.3059850793335128</v>
      </c>
    </row>
    <row r="75" spans="1:7" ht="21" x14ac:dyDescent="0.2">
      <c r="A75" s="300" t="s">
        <v>29</v>
      </c>
      <c r="B75" s="167">
        <v>151.33546799999999</v>
      </c>
      <c r="C75" s="167">
        <v>157.18063000000001</v>
      </c>
      <c r="D75" s="167">
        <v>3.8623873684389736</v>
      </c>
      <c r="E75" s="167">
        <v>5.8451620000000162</v>
      </c>
      <c r="F75" s="167">
        <v>8.0696755822882008E-2</v>
      </c>
      <c r="G75" s="167">
        <v>7.4423703935188476E-2</v>
      </c>
    </row>
    <row r="76" spans="1:7" ht="42" x14ac:dyDescent="0.2">
      <c r="A76" s="294" t="s">
        <v>11</v>
      </c>
      <c r="B76" s="295">
        <v>1846.073005</v>
      </c>
      <c r="C76" s="295">
        <v>1683.494128</v>
      </c>
      <c r="D76" s="295">
        <v>-8.8067414755355173</v>
      </c>
      <c r="E76" s="295">
        <v>-162.57887699999992</v>
      </c>
      <c r="F76" s="295">
        <v>0.9843832677459261</v>
      </c>
      <c r="G76" s="295">
        <v>0.79712028485253106</v>
      </c>
    </row>
    <row r="77" spans="1:7" ht="21" x14ac:dyDescent="0.2">
      <c r="A77" s="300" t="s">
        <v>27</v>
      </c>
      <c r="B77" s="167">
        <v>1198.150369</v>
      </c>
      <c r="C77" s="167">
        <v>1267.908964</v>
      </c>
      <c r="D77" s="167">
        <v>5.8221903364451606</v>
      </c>
      <c r="E77" s="167">
        <v>69.758595000000014</v>
      </c>
      <c r="F77" s="167">
        <v>0.63889086308762055</v>
      </c>
      <c r="G77" s="167">
        <v>0.60034421132875937</v>
      </c>
    </row>
    <row r="78" spans="1:7" ht="21" x14ac:dyDescent="0.2">
      <c r="A78" s="299" t="s">
        <v>33</v>
      </c>
      <c r="B78" s="297">
        <v>276.98548699999998</v>
      </c>
      <c r="C78" s="297">
        <v>276.29025000000001</v>
      </c>
      <c r="D78" s="167">
        <v>-0.25100123747637326</v>
      </c>
      <c r="E78" s="167">
        <v>-0.69523699999996325</v>
      </c>
      <c r="F78" s="167">
        <v>0.14769723519750874</v>
      </c>
      <c r="G78" s="167">
        <v>0.13082110541342917</v>
      </c>
    </row>
    <row r="79" spans="1:7" ht="21" x14ac:dyDescent="0.2">
      <c r="A79" s="299" t="s">
        <v>34</v>
      </c>
      <c r="B79" s="165">
        <v>147.69300000000001</v>
      </c>
      <c r="C79" s="165">
        <v>200.44300000000001</v>
      </c>
      <c r="D79" s="165">
        <v>35.715978414684514</v>
      </c>
      <c r="E79" s="165">
        <v>52.75</v>
      </c>
      <c r="F79" s="167">
        <v>7.8754479140005121E-2</v>
      </c>
      <c r="G79" s="167">
        <v>9.4908071610865688E-2</v>
      </c>
    </row>
    <row r="80" spans="1:7" ht="21" x14ac:dyDescent="0.2">
      <c r="A80" s="300" t="s">
        <v>28</v>
      </c>
      <c r="B80" s="167">
        <v>576.41800899999998</v>
      </c>
      <c r="C80" s="167">
        <v>340.47950100000003</v>
      </c>
      <c r="D80" s="167">
        <v>-40.931841877966022</v>
      </c>
      <c r="E80" s="167">
        <v>-235.93850799999996</v>
      </c>
      <c r="F80" s="167">
        <v>0.30736392425987547</v>
      </c>
      <c r="G80" s="167">
        <v>0.16121417491725737</v>
      </c>
    </row>
    <row r="81" spans="1:7" ht="21" x14ac:dyDescent="0.2">
      <c r="A81" s="300" t="s">
        <v>29</v>
      </c>
      <c r="B81" s="167">
        <v>71.504626999999999</v>
      </c>
      <c r="C81" s="167">
        <v>75.105663000000007</v>
      </c>
      <c r="D81" s="167">
        <v>5.0360880842018787</v>
      </c>
      <c r="E81" s="167">
        <v>3.6010360000000077</v>
      </c>
      <c r="F81" s="167">
        <v>3.812848039843017E-2</v>
      </c>
      <c r="G81" s="167">
        <v>3.5561898606514299E-2</v>
      </c>
    </row>
    <row r="82" spans="1:7" ht="21" x14ac:dyDescent="0.2">
      <c r="A82" s="294" t="s">
        <v>4</v>
      </c>
      <c r="B82" s="295">
        <v>8867.4992059999986</v>
      </c>
      <c r="C82" s="295">
        <v>9905.6379120000001</v>
      </c>
      <c r="D82" s="295">
        <v>11.7072320152853</v>
      </c>
      <c r="E82" s="295">
        <v>1038.1387060000015</v>
      </c>
      <c r="F82" s="295">
        <v>4.7284250522566325</v>
      </c>
      <c r="G82" s="295">
        <v>4.6902360885808037</v>
      </c>
    </row>
    <row r="83" spans="1:7" ht="21" x14ac:dyDescent="0.2">
      <c r="A83" s="300" t="s">
        <v>27</v>
      </c>
      <c r="B83" s="167">
        <v>3032.8256649999998</v>
      </c>
      <c r="C83" s="167">
        <v>3610.7638610000004</v>
      </c>
      <c r="D83" s="167">
        <v>19.05609684953653</v>
      </c>
      <c r="E83" s="167">
        <v>577.93819600000052</v>
      </c>
      <c r="F83" s="167">
        <v>1.6171965196015696</v>
      </c>
      <c r="G83" s="167">
        <v>1.7096662646723204</v>
      </c>
    </row>
    <row r="84" spans="1:7" ht="21" x14ac:dyDescent="0.2">
      <c r="A84" s="299" t="s">
        <v>33</v>
      </c>
      <c r="B84" s="167">
        <v>15.096007</v>
      </c>
      <c r="C84" s="167">
        <v>15.096007</v>
      </c>
      <c r="D84" s="167">
        <v>0</v>
      </c>
      <c r="E84" s="167">
        <v>0</v>
      </c>
      <c r="F84" s="167">
        <v>8.0496581989591334E-3</v>
      </c>
      <c r="G84" s="167">
        <v>7.1478321188274459E-3</v>
      </c>
    </row>
    <row r="85" spans="1:7" ht="21" x14ac:dyDescent="0.2">
      <c r="A85" s="299" t="s">
        <v>34</v>
      </c>
      <c r="B85" s="167">
        <v>3011.0781919999999</v>
      </c>
      <c r="C85" s="167">
        <v>3588.6120620000002</v>
      </c>
      <c r="D85" s="167">
        <v>19.180301313145051</v>
      </c>
      <c r="E85" s="167">
        <v>577.53387000000021</v>
      </c>
      <c r="F85" s="167">
        <v>1.6056000938486477</v>
      </c>
      <c r="G85" s="167">
        <v>1.6991775744920619</v>
      </c>
    </row>
    <row r="86" spans="1:7" ht="21" x14ac:dyDescent="0.2">
      <c r="A86" s="300" t="s">
        <v>28</v>
      </c>
      <c r="B86" s="167">
        <v>5829.8408609999997</v>
      </c>
      <c r="C86" s="167">
        <v>6289.8947209999997</v>
      </c>
      <c r="D86" s="167">
        <v>7.8913622338755687</v>
      </c>
      <c r="E86" s="167">
        <v>460.05385999999999</v>
      </c>
      <c r="F86" s="167">
        <v>3.1086515980931662</v>
      </c>
      <c r="G86" s="167">
        <v>2.9782121531082355</v>
      </c>
    </row>
    <row r="87" spans="1:7" ht="21" x14ac:dyDescent="0.2">
      <c r="A87" s="300" t="s">
        <v>29</v>
      </c>
      <c r="B87" s="167">
        <v>4.8326799999999999</v>
      </c>
      <c r="C87" s="167">
        <v>4.97933</v>
      </c>
      <c r="D87" s="167">
        <v>3.0345481182284146</v>
      </c>
      <c r="E87" s="167">
        <v>0.14665000000000017</v>
      </c>
      <c r="F87" s="167">
        <v>2.5769345618974491E-3</v>
      </c>
      <c r="G87" s="167">
        <v>2.3576708002481096E-3</v>
      </c>
    </row>
    <row r="88" spans="1:7" ht="21" x14ac:dyDescent="0.2">
      <c r="A88" s="294" t="s">
        <v>5</v>
      </c>
      <c r="B88" s="295">
        <v>1595.0216580000001</v>
      </c>
      <c r="C88" s="295">
        <v>1669.4939589999999</v>
      </c>
      <c r="D88" s="295">
        <v>4.6690463810617331</v>
      </c>
      <c r="E88" s="295">
        <v>74.472300999999788</v>
      </c>
      <c r="F88" s="295">
        <v>0.85051491873560281</v>
      </c>
      <c r="G88" s="295">
        <v>0.79049132279341083</v>
      </c>
    </row>
    <row r="89" spans="1:7" ht="21" x14ac:dyDescent="0.2">
      <c r="A89" s="300" t="s">
        <v>27</v>
      </c>
      <c r="B89" s="167">
        <v>335.61336</v>
      </c>
      <c r="C89" s="167">
        <v>678.00379900000007</v>
      </c>
      <c r="D89" s="167">
        <v>102.01931144814975</v>
      </c>
      <c r="E89" s="167">
        <v>342.39043900000007</v>
      </c>
      <c r="F89" s="167">
        <v>0.17895943178909648</v>
      </c>
      <c r="G89" s="167">
        <v>0.32102908611391262</v>
      </c>
    </row>
    <row r="90" spans="1:7" ht="21" x14ac:dyDescent="0.2">
      <c r="A90" s="299" t="s">
        <v>33</v>
      </c>
      <c r="B90" s="167">
        <v>100.686001</v>
      </c>
      <c r="C90" s="167">
        <v>100.66906899999999</v>
      </c>
      <c r="D90" s="167">
        <v>-1.6816637697232295E-2</v>
      </c>
      <c r="E90" s="167">
        <v>-1.6932000000011271E-2</v>
      </c>
      <c r="F90" s="167">
        <v>5.3688892266018265E-2</v>
      </c>
      <c r="G90" s="167">
        <v>4.7665955955813757E-2</v>
      </c>
    </row>
    <row r="91" spans="1:7" ht="21" x14ac:dyDescent="0.2">
      <c r="A91" s="299" t="s">
        <v>34</v>
      </c>
      <c r="B91" s="167">
        <v>41.597000000000001</v>
      </c>
      <c r="C91" s="167">
        <v>43.597000000000001</v>
      </c>
      <c r="D91" s="167">
        <v>4.8080390412770271</v>
      </c>
      <c r="E91" s="167">
        <v>2</v>
      </c>
      <c r="F91" s="167">
        <v>2.2180807951539972E-2</v>
      </c>
      <c r="G91" s="167">
        <v>2.0642812161157594E-2</v>
      </c>
    </row>
    <row r="92" spans="1:7" ht="21" x14ac:dyDescent="0.2">
      <c r="A92" s="300" t="s">
        <v>28</v>
      </c>
      <c r="B92" s="167">
        <v>1238.2912980000001</v>
      </c>
      <c r="C92" s="167">
        <v>969.54949499999998</v>
      </c>
      <c r="D92" s="167">
        <v>-21.702631960190047</v>
      </c>
      <c r="E92" s="167">
        <v>-268.74180300000012</v>
      </c>
      <c r="F92" s="167">
        <v>0.66029524891220892</v>
      </c>
      <c r="G92" s="167">
        <v>0.45907351666927088</v>
      </c>
    </row>
    <row r="93" spans="1:7" ht="21" x14ac:dyDescent="0.2">
      <c r="A93" s="300" t="s">
        <v>29</v>
      </c>
      <c r="B93" s="167">
        <v>21.117000000000001</v>
      </c>
      <c r="C93" s="167">
        <v>21.940664999999999</v>
      </c>
      <c r="D93" s="167">
        <v>3.9004830231566814</v>
      </c>
      <c r="E93" s="167">
        <v>0.82366499999999832</v>
      </c>
      <c r="F93" s="167">
        <v>1.1260238034297416E-2</v>
      </c>
      <c r="G93" s="167">
        <v>1.0388720010227418E-2</v>
      </c>
    </row>
    <row r="94" spans="1:7" ht="21" x14ac:dyDescent="0.2">
      <c r="A94" s="294" t="s">
        <v>6</v>
      </c>
      <c r="B94" s="295">
        <v>340.60395</v>
      </c>
      <c r="C94" s="295">
        <v>363.51698899999997</v>
      </c>
      <c r="D94" s="295">
        <v>6.7271794704670782</v>
      </c>
      <c r="E94" s="295">
        <v>22.913038999999969</v>
      </c>
      <c r="F94" s="295">
        <v>0.18162056885078065</v>
      </c>
      <c r="G94" s="295">
        <v>0.17212223137639265</v>
      </c>
    </row>
    <row r="95" spans="1:7" ht="21" x14ac:dyDescent="0.2">
      <c r="A95" s="300" t="s">
        <v>27</v>
      </c>
      <c r="B95" s="167">
        <v>324.834834</v>
      </c>
      <c r="C95" s="167">
        <v>347.52855699999998</v>
      </c>
      <c r="D95" s="167">
        <v>6.9862344258312987</v>
      </c>
      <c r="E95" s="167">
        <v>22.693722999999977</v>
      </c>
      <c r="F95" s="167">
        <v>0.17321198809828514</v>
      </c>
      <c r="G95" s="167">
        <v>0.16455184353944419</v>
      </c>
    </row>
    <row r="96" spans="1:7" ht="21" x14ac:dyDescent="0.2">
      <c r="A96" s="299" t="s">
        <v>33</v>
      </c>
      <c r="B96" s="167">
        <v>41.199272000000001</v>
      </c>
      <c r="C96" s="167">
        <v>41.200271999999998</v>
      </c>
      <c r="D96" s="167">
        <v>2.4272273548859857E-3</v>
      </c>
      <c r="E96" s="167">
        <v>9.9999999999766942E-4</v>
      </c>
      <c r="F96" s="167">
        <v>2.1968727071069019E-2</v>
      </c>
      <c r="G96" s="167">
        <v>1.9507981647466584E-2</v>
      </c>
    </row>
    <row r="97" spans="1:8" ht="21" x14ac:dyDescent="0.2">
      <c r="A97" s="299" t="s">
        <v>34</v>
      </c>
      <c r="B97" s="167">
        <v>173.46299999999999</v>
      </c>
      <c r="C97" s="167">
        <v>185.363</v>
      </c>
      <c r="D97" s="167">
        <v>6.8602526187140853</v>
      </c>
      <c r="E97" s="167">
        <v>11.900000000000006</v>
      </c>
      <c r="F97" s="167">
        <v>9.2495840798566681E-2</v>
      </c>
      <c r="G97" s="167">
        <v>8.7767818671666747E-2</v>
      </c>
    </row>
    <row r="98" spans="1:8" ht="21" x14ac:dyDescent="0.2">
      <c r="A98" s="300" t="s">
        <v>29</v>
      </c>
      <c r="B98" s="167">
        <v>15.769116</v>
      </c>
      <c r="C98" s="167">
        <v>15.988432</v>
      </c>
      <c r="D98" s="167">
        <v>1.3907945125142049</v>
      </c>
      <c r="E98" s="167">
        <v>0.21931599999999918</v>
      </c>
      <c r="F98" s="167">
        <v>8.4085807524955213E-3</v>
      </c>
      <c r="G98" s="167">
        <v>7.5703878369484407E-3</v>
      </c>
    </row>
    <row r="99" spans="1:8" ht="21" x14ac:dyDescent="0.2">
      <c r="A99" s="294" t="s">
        <v>14</v>
      </c>
      <c r="B99" s="295">
        <v>2705.1648559999999</v>
      </c>
      <c r="C99" s="295">
        <v>2621.1251000000002</v>
      </c>
      <c r="D99" s="295">
        <v>-3.1066408323914629</v>
      </c>
      <c r="E99" s="295">
        <v>-84.03975599999967</v>
      </c>
      <c r="F99" s="295">
        <v>1.4424776341609076</v>
      </c>
      <c r="G99" s="295">
        <v>1.2410806498198366</v>
      </c>
    </row>
    <row r="100" spans="1:8" ht="21" x14ac:dyDescent="0.2">
      <c r="A100" s="300" t="s">
        <v>27</v>
      </c>
      <c r="B100" s="167">
        <v>995.596994</v>
      </c>
      <c r="C100" s="167">
        <v>1090.8358089999999</v>
      </c>
      <c r="D100" s="167">
        <v>9.5660006582944703</v>
      </c>
      <c r="E100" s="167">
        <v>95.238814999999931</v>
      </c>
      <c r="F100" s="167">
        <v>0.53088313390495689</v>
      </c>
      <c r="G100" s="167">
        <v>0.51650156441616113</v>
      </c>
    </row>
    <row r="101" spans="1:8" ht="21" x14ac:dyDescent="0.2">
      <c r="A101" s="299" t="s">
        <v>33</v>
      </c>
      <c r="B101" s="165">
        <v>68.886740000000003</v>
      </c>
      <c r="C101" s="165">
        <v>68.886740000000003</v>
      </c>
      <c r="D101" s="167">
        <v>0</v>
      </c>
      <c r="E101" s="167">
        <v>0</v>
      </c>
      <c r="F101" s="167">
        <v>3.6732542018599101E-2</v>
      </c>
      <c r="G101" s="167">
        <v>3.2617290965307279E-2</v>
      </c>
    </row>
    <row r="102" spans="1:8" ht="21" x14ac:dyDescent="0.2">
      <c r="A102" s="299" t="s">
        <v>34</v>
      </c>
      <c r="B102" s="167">
        <v>218.81899999999999</v>
      </c>
      <c r="C102" s="167">
        <v>220.81899999999999</v>
      </c>
      <c r="D102" s="167">
        <v>0.91399741338730678</v>
      </c>
      <c r="E102" s="167">
        <v>2</v>
      </c>
      <c r="F102" s="167">
        <v>0.11668106390239741</v>
      </c>
      <c r="G102" s="167">
        <v>0.10455593592712017</v>
      </c>
    </row>
    <row r="103" spans="1:8" ht="21" x14ac:dyDescent="0.2">
      <c r="A103" s="300" t="s">
        <v>28</v>
      </c>
      <c r="B103" s="167">
        <v>1674.5174569999999</v>
      </c>
      <c r="C103" s="167">
        <v>1494.1875910000001</v>
      </c>
      <c r="D103" s="167">
        <v>-10.769064559235574</v>
      </c>
      <c r="E103" s="167">
        <v>-180.32986599999981</v>
      </c>
      <c r="F103" s="167">
        <v>0.89290453939510284</v>
      </c>
      <c r="G103" s="167">
        <v>0.70748523463874968</v>
      </c>
    </row>
    <row r="104" spans="1:8" ht="21" x14ac:dyDescent="0.2">
      <c r="A104" s="300" t="s">
        <v>29</v>
      </c>
      <c r="B104" s="167">
        <v>35.050404999999998</v>
      </c>
      <c r="C104" s="167">
        <v>36.101700000000001</v>
      </c>
      <c r="D104" s="167">
        <v>2.9993804636494303</v>
      </c>
      <c r="E104" s="167">
        <v>1.0512950000000032</v>
      </c>
      <c r="F104" s="167">
        <v>1.8689960860848048E-2</v>
      </c>
      <c r="G104" s="167">
        <v>1.7093850764925637E-2</v>
      </c>
    </row>
    <row r="105" spans="1:8" ht="42" x14ac:dyDescent="0.2">
      <c r="A105" s="294" t="s">
        <v>7</v>
      </c>
      <c r="B105" s="295">
        <v>241.380503</v>
      </c>
      <c r="C105" s="295">
        <v>458.47209400000003</v>
      </c>
      <c r="D105" s="295">
        <v>89.937500461667383</v>
      </c>
      <c r="E105" s="295">
        <v>217.09159100000002</v>
      </c>
      <c r="F105" s="295">
        <v>0.12871155564798226</v>
      </c>
      <c r="G105" s="295">
        <v>0.21708267352282465</v>
      </c>
    </row>
    <row r="106" spans="1:8" ht="21" x14ac:dyDescent="0.2">
      <c r="A106" s="300" t="s">
        <v>27</v>
      </c>
      <c r="B106" s="167">
        <v>238.31886299999999</v>
      </c>
      <c r="C106" s="167">
        <v>455.40725400000002</v>
      </c>
      <c r="D106" s="167">
        <v>91.091568777751348</v>
      </c>
      <c r="E106" s="167">
        <v>217.08839100000003</v>
      </c>
      <c r="F106" s="165">
        <v>0.12707899443306886</v>
      </c>
      <c r="G106" s="167">
        <v>0.21563149760650008</v>
      </c>
    </row>
    <row r="107" spans="1:8" ht="21" x14ac:dyDescent="0.2">
      <c r="A107" s="299" t="s">
        <v>33</v>
      </c>
      <c r="B107" s="297">
        <v>23.344676</v>
      </c>
      <c r="C107" s="297">
        <v>23.344676</v>
      </c>
      <c r="D107" s="167">
        <v>0</v>
      </c>
      <c r="E107" s="167">
        <v>0</v>
      </c>
      <c r="F107" s="167">
        <v>1.2448103830731166E-2</v>
      </c>
      <c r="G107" s="167">
        <v>1.1053507388836014E-2</v>
      </c>
    </row>
    <row r="108" spans="1:8" ht="21" x14ac:dyDescent="0.2">
      <c r="A108" s="300" t="s">
        <v>29</v>
      </c>
      <c r="B108" s="167">
        <v>3.0616400000000001</v>
      </c>
      <c r="C108" s="167">
        <v>3.0648399999999998</v>
      </c>
      <c r="D108" s="167">
        <v>0.10451914660116302</v>
      </c>
      <c r="E108" s="167">
        <v>3.1999999999996476E-3</v>
      </c>
      <c r="F108" s="167">
        <v>1.6325612149134033E-3</v>
      </c>
      <c r="G108" s="167">
        <v>1.4511759163245688E-3</v>
      </c>
    </row>
    <row r="109" spans="1:8" ht="21" x14ac:dyDescent="0.2">
      <c r="A109" s="294" t="s">
        <v>63</v>
      </c>
      <c r="B109" s="295">
        <v>6591.9</v>
      </c>
      <c r="C109" s="295">
        <v>7670.6</v>
      </c>
      <c r="D109" s="295">
        <v>16.364022512477433</v>
      </c>
      <c r="E109" s="295">
        <v>1078.7000000000007</v>
      </c>
      <c r="F109" s="295">
        <v>3.5150051190171485</v>
      </c>
      <c r="G109" s="295">
        <v>3.6319644691922712</v>
      </c>
    </row>
    <row r="110" spans="1:8" ht="21" x14ac:dyDescent="0.2">
      <c r="A110" s="300" t="s">
        <v>27</v>
      </c>
      <c r="B110" s="167">
        <v>6591.9</v>
      </c>
      <c r="C110" s="167">
        <v>7670.6</v>
      </c>
      <c r="D110" s="167">
        <v>16.364022512477433</v>
      </c>
      <c r="E110" s="167">
        <v>1078.7000000000007</v>
      </c>
      <c r="F110" s="167">
        <v>3.5150051190171485</v>
      </c>
      <c r="G110" s="167">
        <v>3.6319644691922712</v>
      </c>
      <c r="H110" s="258"/>
    </row>
    <row r="111" spans="1:8" ht="21" x14ac:dyDescent="0.2">
      <c r="A111" s="301" t="s">
        <v>38</v>
      </c>
      <c r="B111" s="297">
        <v>3503.1</v>
      </c>
      <c r="C111" s="297">
        <v>3666.1</v>
      </c>
      <c r="D111" s="297">
        <v>4.6530216094316472</v>
      </c>
      <c r="E111" s="297">
        <v>163</v>
      </c>
      <c r="F111" s="167">
        <v>1.8679613514205273</v>
      </c>
      <c r="G111" s="297">
        <v>1.7358674602385451</v>
      </c>
    </row>
    <row r="112" spans="1:8" ht="21" x14ac:dyDescent="0.2">
      <c r="A112" s="301" t="s">
        <v>39</v>
      </c>
      <c r="B112" s="168">
        <v>106</v>
      </c>
      <c r="C112" s="168">
        <v>106</v>
      </c>
      <c r="D112" s="168">
        <v>0</v>
      </c>
      <c r="E112" s="168">
        <v>0</v>
      </c>
      <c r="F112" s="167">
        <v>5.6522481016978078E-2</v>
      </c>
      <c r="G112" s="168">
        <v>5.0190106867048306E-2</v>
      </c>
    </row>
    <row r="113" spans="1:7" ht="21" x14ac:dyDescent="0.2">
      <c r="A113" s="301" t="s">
        <v>8</v>
      </c>
      <c r="B113" s="168">
        <v>867.3</v>
      </c>
      <c r="C113" s="168">
        <v>754.3</v>
      </c>
      <c r="D113" s="168">
        <v>-13.028940389715203</v>
      </c>
      <c r="E113" s="168">
        <v>-113</v>
      </c>
      <c r="F113" s="167">
        <v>0.46247120552853854</v>
      </c>
      <c r="G113" s="168">
        <v>0.35715469443221254</v>
      </c>
    </row>
    <row r="114" spans="1:7" ht="21" x14ac:dyDescent="0.2">
      <c r="A114" s="301" t="s">
        <v>41</v>
      </c>
      <c r="B114" s="297">
        <v>66.5</v>
      </c>
      <c r="C114" s="297">
        <v>64.5</v>
      </c>
      <c r="D114" s="168">
        <v>-3.0075187969924855</v>
      </c>
      <c r="E114" s="168">
        <v>-2</v>
      </c>
      <c r="F114" s="167">
        <v>3.5459858373858885E-2</v>
      </c>
      <c r="G114" s="167">
        <v>3.0540206537024675E-2</v>
      </c>
    </row>
    <row r="115" spans="1:7" ht="21" x14ac:dyDescent="0.2">
      <c r="A115" s="301" t="s">
        <v>40</v>
      </c>
      <c r="B115" s="168">
        <v>800.8</v>
      </c>
      <c r="C115" s="168">
        <v>689.8</v>
      </c>
      <c r="D115" s="168">
        <v>-13.861138861138869</v>
      </c>
      <c r="E115" s="168">
        <v>-111</v>
      </c>
      <c r="F115" s="167">
        <v>0.42701134715467964</v>
      </c>
      <c r="G115" s="168">
        <v>0.32661448789518788</v>
      </c>
    </row>
    <row r="116" spans="1:7" ht="21" x14ac:dyDescent="0.2">
      <c r="A116" s="294" t="s">
        <v>65</v>
      </c>
      <c r="B116" s="295">
        <v>-1500.2597229999883</v>
      </c>
      <c r="C116" s="295">
        <v>-1689.5844450000077</v>
      </c>
      <c r="D116" s="295">
        <v>12.619463090126629</v>
      </c>
      <c r="E116" s="295">
        <v>-189.32472200001939</v>
      </c>
      <c r="F116" s="295">
        <v>-0.79998492182833603</v>
      </c>
      <c r="G116" s="295">
        <v>-0.80000399863634797</v>
      </c>
    </row>
    <row r="118" spans="1:7" x14ac:dyDescent="0.2">
      <c r="C118" s="263"/>
    </row>
    <row r="120" spans="1:7" x14ac:dyDescent="0.2">
      <c r="B120" s="264"/>
    </row>
  </sheetData>
  <mergeCells count="2">
    <mergeCell ref="A1:G1"/>
    <mergeCell ref="F2:G2"/>
  </mergeCells>
  <pageMargins left="0.41" right="0.35433070866141736" top="0.35" bottom="0.62" header="0.31496062992125984" footer="0.41"/>
  <pageSetup paperSize="9" scale="95" orientation="landscape" r:id="rId1"/>
  <headerFooter>
    <oddFooter>&amp;C&amp;P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zoomScaleNormal="100" zoomScaleSheetLayoutView="100" workbookViewId="0">
      <pane ySplit="3" topLeftCell="A4" activePane="bottomLeft" state="frozen"/>
      <selection activeCell="D17" sqref="D17"/>
      <selection pane="bottomLeft" activeCell="M7" sqref="M7"/>
    </sheetView>
  </sheetViews>
  <sheetFormatPr defaultColWidth="9.140625" defaultRowHeight="15" x14ac:dyDescent="0.2"/>
  <cols>
    <col min="1" max="1" width="59.140625" style="11" customWidth="1"/>
    <col min="2" max="2" width="15.85546875" style="11" hidden="1" customWidth="1"/>
    <col min="3" max="3" width="15.85546875" style="13" customWidth="1"/>
    <col min="4" max="5" width="15.28515625" style="13" customWidth="1"/>
    <col min="6" max="6" width="15.28515625" style="38" customWidth="1"/>
    <col min="7" max="7" width="15.28515625" style="13" customWidth="1"/>
    <col min="8" max="8" width="15.28515625" style="13" hidden="1" customWidth="1"/>
    <col min="9" max="9" width="15.28515625" style="13" customWidth="1"/>
    <col min="10" max="10" width="13" style="11" customWidth="1"/>
    <col min="11" max="11" width="9.140625" style="11"/>
    <col min="12" max="12" width="19.28515625" style="11" customWidth="1"/>
    <col min="13" max="13" width="9.140625" style="11"/>
    <col min="14" max="14" width="9.140625" style="11" customWidth="1"/>
    <col min="15" max="16384" width="9.140625" style="11"/>
  </cols>
  <sheetData>
    <row r="1" spans="1:13" ht="62.25" customHeight="1" x14ac:dyDescent="0.2">
      <c r="A1" s="303" t="s">
        <v>78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3" ht="14.25" customHeight="1" x14ac:dyDescent="0.2">
      <c r="A2" s="12"/>
      <c r="B2" s="12"/>
      <c r="C2" s="12"/>
      <c r="D2" s="12"/>
      <c r="E2" s="12"/>
      <c r="F2" s="35"/>
      <c r="G2" s="12"/>
      <c r="H2" s="12"/>
      <c r="I2" s="311" t="s">
        <v>74</v>
      </c>
      <c r="J2" s="311"/>
    </row>
    <row r="3" spans="1:13" ht="51.75" x14ac:dyDescent="0.2">
      <c r="A3" s="113" t="s">
        <v>57</v>
      </c>
      <c r="B3" s="113" t="s">
        <v>66</v>
      </c>
      <c r="C3" s="113" t="s">
        <v>58</v>
      </c>
      <c r="D3" s="113" t="s">
        <v>79</v>
      </c>
      <c r="E3" s="113" t="s">
        <v>80</v>
      </c>
      <c r="F3" s="113" t="s">
        <v>81</v>
      </c>
      <c r="G3" s="113" t="s">
        <v>82</v>
      </c>
      <c r="H3" s="113" t="s">
        <v>59</v>
      </c>
      <c r="I3" s="113" t="s">
        <v>60</v>
      </c>
      <c r="J3" s="113" t="s">
        <v>83</v>
      </c>
      <c r="M3" s="13"/>
    </row>
    <row r="4" spans="1:13" s="14" customFormat="1" ht="21.75" customHeight="1" x14ac:dyDescent="0.2">
      <c r="A4" s="114" t="s">
        <v>18</v>
      </c>
      <c r="B4" s="115">
        <v>103964</v>
      </c>
      <c r="C4" s="115">
        <v>115184</v>
      </c>
      <c r="D4" s="115">
        <v>126995</v>
      </c>
      <c r="E4" s="116">
        <f>Таблица224[[#This Row],[Столбец20]]/Таблица224[[#This Row],[Столбец14]]*100-100</f>
        <v>10.254028337269077</v>
      </c>
      <c r="F4" s="116" t="s">
        <v>61</v>
      </c>
      <c r="G4" s="116" t="s">
        <v>61</v>
      </c>
      <c r="H4" s="116" t="s">
        <v>61</v>
      </c>
      <c r="I4" s="116" t="s">
        <v>61</v>
      </c>
      <c r="J4" s="116">
        <f>Таблица224[[#This Row],[Столбец20]]/Таблица224[[#This Row],[Столбец14]]*100-100</f>
        <v>10.254028337269077</v>
      </c>
    </row>
    <row r="5" spans="1:13" ht="18.75" x14ac:dyDescent="0.2">
      <c r="A5" s="15" t="s">
        <v>15</v>
      </c>
      <c r="B5" s="16">
        <v>12.2</v>
      </c>
      <c r="C5" s="16">
        <f>C4/B4*100-100</f>
        <v>10.792197299065066</v>
      </c>
      <c r="D5" s="16">
        <f>D4/C4*100-100</f>
        <v>10.254028337269077</v>
      </c>
      <c r="E5" s="16" t="s">
        <v>16</v>
      </c>
      <c r="F5" s="16" t="s">
        <v>16</v>
      </c>
      <c r="G5" s="16" t="s">
        <v>16</v>
      </c>
      <c r="H5" s="16" t="s">
        <v>16</v>
      </c>
      <c r="I5" s="16" t="s">
        <v>16</v>
      </c>
      <c r="J5" s="16" t="s">
        <v>16</v>
      </c>
    </row>
    <row r="6" spans="1:13" ht="18.75" x14ac:dyDescent="0.2">
      <c r="A6" s="15" t="s">
        <v>0</v>
      </c>
      <c r="B6" s="16">
        <v>7.9</v>
      </c>
      <c r="C6" s="16">
        <v>7.8</v>
      </c>
      <c r="D6" s="16">
        <v>8</v>
      </c>
      <c r="E6" s="16" t="s">
        <v>16</v>
      </c>
      <c r="F6" s="16" t="s">
        <v>16</v>
      </c>
      <c r="G6" s="16" t="s">
        <v>16</v>
      </c>
      <c r="H6" s="16" t="s">
        <v>16</v>
      </c>
      <c r="I6" s="16" t="s">
        <v>16</v>
      </c>
      <c r="J6" s="16" t="s">
        <v>16</v>
      </c>
    </row>
    <row r="7" spans="1:13" ht="18.75" x14ac:dyDescent="0.2">
      <c r="A7" s="15" t="s">
        <v>1</v>
      </c>
      <c r="B7" s="16">
        <v>7</v>
      </c>
      <c r="C7" s="16">
        <v>6.9</v>
      </c>
      <c r="D7" s="16">
        <v>6.8</v>
      </c>
      <c r="E7" s="16" t="s">
        <v>16</v>
      </c>
      <c r="F7" s="16" t="s">
        <v>16</v>
      </c>
      <c r="G7" s="16" t="s">
        <v>16</v>
      </c>
      <c r="H7" s="16" t="s">
        <v>16</v>
      </c>
      <c r="I7" s="16" t="s">
        <v>16</v>
      </c>
      <c r="J7" s="16" t="s">
        <v>16</v>
      </c>
    </row>
    <row r="8" spans="1:13" ht="18.75" x14ac:dyDescent="0.2">
      <c r="A8" s="15" t="s">
        <v>9</v>
      </c>
      <c r="B8" s="16">
        <v>3.4</v>
      </c>
      <c r="C8" s="16">
        <v>3.5</v>
      </c>
      <c r="D8" s="16">
        <v>2</v>
      </c>
      <c r="E8" s="16" t="s">
        <v>16</v>
      </c>
      <c r="F8" s="16" t="s">
        <v>16</v>
      </c>
      <c r="G8" s="16" t="s">
        <v>16</v>
      </c>
      <c r="H8" s="16" t="s">
        <v>16</v>
      </c>
      <c r="I8" s="16" t="s">
        <v>16</v>
      </c>
      <c r="J8" s="16" t="s">
        <v>16</v>
      </c>
    </row>
    <row r="9" spans="1:13" s="18" customFormat="1" ht="21.75" hidden="1" customHeight="1" x14ac:dyDescent="0.2">
      <c r="A9" s="15" t="s">
        <v>19</v>
      </c>
      <c r="B9" s="17">
        <v>11</v>
      </c>
      <c r="C9" s="17" t="s">
        <v>16</v>
      </c>
      <c r="D9" s="17" t="s">
        <v>16</v>
      </c>
      <c r="E9" s="16" t="s">
        <v>16</v>
      </c>
      <c r="F9" s="36" t="s">
        <v>16</v>
      </c>
      <c r="G9" s="17" t="s">
        <v>16</v>
      </c>
      <c r="H9" s="17" t="s">
        <v>16</v>
      </c>
      <c r="I9" s="17" t="s">
        <v>16</v>
      </c>
      <c r="J9" s="17" t="s">
        <v>16</v>
      </c>
    </row>
    <row r="10" spans="1:13" ht="21.75" customHeight="1" x14ac:dyDescent="0.2">
      <c r="A10" s="105" t="s">
        <v>17</v>
      </c>
      <c r="B10" s="106">
        <f>B11+B14+B15</f>
        <v>30374.400000000001</v>
      </c>
      <c r="C10" s="106">
        <f>C11+C14+C15</f>
        <v>33556.861000000004</v>
      </c>
      <c r="D10" s="106">
        <f>D11+D14+D15</f>
        <v>36125.369999999995</v>
      </c>
      <c r="E10" s="106">
        <f>Таблица224[[#This Row],[Столбец20]]/Таблица224[[#This Row],[Столбец14]]*100-100</f>
        <v>7.6541992411030009</v>
      </c>
      <c r="F10" s="106">
        <f>Таблица224[[#This Row],[Столбец14]]-Таблица224[[#This Row],[Столбец5]]</f>
        <v>3182.461000000003</v>
      </c>
      <c r="G10" s="106">
        <f>Таблица224[[#This Row],[Столбец20]]-Таблица224[[#This Row],[Столбец14]]</f>
        <v>2568.5089999999909</v>
      </c>
      <c r="H10" s="106">
        <f>Таблица224[[#This Row],[Столбец5]]/$B$4*100</f>
        <v>29.216267169404798</v>
      </c>
      <c r="I10" s="106">
        <f>Таблица224[[#This Row],[Столбец14]]/$C$4*100</f>
        <v>29.133265904986803</v>
      </c>
      <c r="J10" s="106">
        <f>Таблица224[[#This Row],[Столбец20]]/$D$4*100</f>
        <v>28.446293161148073</v>
      </c>
    </row>
    <row r="11" spans="1:13" ht="18.75" x14ac:dyDescent="0.2">
      <c r="A11" s="105" t="s">
        <v>20</v>
      </c>
      <c r="B11" s="106">
        <v>6463.9</v>
      </c>
      <c r="C11" s="106">
        <f>C24</f>
        <v>7746.5609999999997</v>
      </c>
      <c r="D11" s="106">
        <f>D24</f>
        <v>8034.87</v>
      </c>
      <c r="E11" s="106">
        <f>Таблица224[[#This Row],[Столбец20]]/Таблица224[[#This Row],[Столбец14]]*100-100</f>
        <v>3.7217676334053209</v>
      </c>
      <c r="F11" s="106">
        <f>Таблица224[[#This Row],[Столбец14]]-Таблица224[[#This Row],[Столбец5]]</f>
        <v>1282.6610000000001</v>
      </c>
      <c r="G11" s="106">
        <f>Таблица224[[#This Row],[Столбец20]]-Таблица224[[#This Row],[Столбец14]]</f>
        <v>288.3090000000002</v>
      </c>
      <c r="H11" s="106">
        <f>Таблица224[[#This Row],[Столбец5]]/$B$4*100</f>
        <v>6.2174406525335684</v>
      </c>
      <c r="I11" s="106">
        <f>Таблица224[[#This Row],[Столбец14]]/$C$4*100</f>
        <v>6.7253793929712451</v>
      </c>
      <c r="J11" s="106">
        <f>Таблица224[[#This Row],[Столбец20]]/$D$4*100</f>
        <v>6.3269183826134885</v>
      </c>
    </row>
    <row r="12" spans="1:13" ht="21.75" customHeight="1" x14ac:dyDescent="0.2">
      <c r="A12" s="19" t="s">
        <v>21</v>
      </c>
      <c r="B12" s="20">
        <v>3463.2</v>
      </c>
      <c r="C12" s="20">
        <v>4391.3</v>
      </c>
      <c r="D12" s="20">
        <v>4958.1000000000004</v>
      </c>
      <c r="E12" s="20">
        <f>Таблица224[[#This Row],[Столбец20]]/Таблица224[[#This Row],[Столбец14]]*100-100</f>
        <v>12.907339512217348</v>
      </c>
      <c r="F12" s="20">
        <f>Таблица224[[#This Row],[Столбец14]]-Таблица224[[#This Row],[Столбец5]]</f>
        <v>928.10000000000036</v>
      </c>
      <c r="G12" s="20">
        <f>Таблица224[[#This Row],[Столбец20]]-Таблица224[[#This Row],[Столбец14]]</f>
        <v>566.80000000000018</v>
      </c>
      <c r="H12" s="20">
        <f>Таблица224[[#This Row],[Столбец5]]/$B$4*100</f>
        <v>3.331153091454734</v>
      </c>
      <c r="I12" s="20">
        <f>Таблица224[[#This Row],[Столбец14]]/$C$4*100</f>
        <v>3.8124218641477983</v>
      </c>
      <c r="J12" s="20">
        <f>Таблица224[[#This Row],[Столбец20]]/$D$4*100</f>
        <v>3.9041694554903734</v>
      </c>
    </row>
    <row r="13" spans="1:13" ht="21.75" customHeight="1" x14ac:dyDescent="0.2">
      <c r="A13" s="19" t="s">
        <v>22</v>
      </c>
      <c r="B13" s="20">
        <v>3000.7</v>
      </c>
      <c r="C13" s="20">
        <v>3355.3</v>
      </c>
      <c r="D13" s="20">
        <v>3075.9</v>
      </c>
      <c r="E13" s="20">
        <f>Таблица224[[#This Row],[Столбец20]]/Таблица224[[#This Row],[Столбец14]]*100-100</f>
        <v>-8.3271242511846992</v>
      </c>
      <c r="F13" s="20">
        <f>Таблица224[[#This Row],[Столбец14]]-Таблица224[[#This Row],[Столбец5]]</f>
        <v>354.60000000000036</v>
      </c>
      <c r="G13" s="20">
        <f>Таблица224[[#This Row],[Столбец20]]-Таблица224[[#This Row],[Столбец14]]</f>
        <v>-279.40000000000009</v>
      </c>
      <c r="H13" s="20">
        <f>Таблица224[[#This Row],[Столбец5]]/$B$4*100</f>
        <v>2.8862875610788348</v>
      </c>
      <c r="I13" s="20">
        <f>Таблица224[[#This Row],[Столбец14]]/$C$4*100</f>
        <v>2.9129913876927356</v>
      </c>
      <c r="J13" s="20">
        <f>Таблица224[[#This Row],[Столбец20]]/$D$4*100</f>
        <v>2.4220638607819209</v>
      </c>
    </row>
    <row r="14" spans="1:13" s="14" customFormat="1" ht="23.25" customHeight="1" x14ac:dyDescent="0.2">
      <c r="A14" s="105" t="s">
        <v>23</v>
      </c>
      <c r="B14" s="16">
        <v>2378.5</v>
      </c>
      <c r="C14" s="106">
        <v>2714.3</v>
      </c>
      <c r="D14" s="106">
        <v>3190.5</v>
      </c>
      <c r="E14" s="106">
        <f>Таблица224[[#This Row],[Столбец20]]/Таблица224[[#This Row],[Столбец14]]*100-100</f>
        <v>17.544118188851627</v>
      </c>
      <c r="F14" s="106">
        <f>Таблица224[[#This Row],[Столбец14]]-Таблица224[[#This Row],[Столбец5]]</f>
        <v>335.80000000000018</v>
      </c>
      <c r="G14" s="106">
        <f>Таблица224[[#This Row],[Столбец20]]-Таблица224[[#This Row],[Столбец14]]</f>
        <v>476.19999999999982</v>
      </c>
      <c r="H14" s="106">
        <f>Таблица224[[#This Row],[Столбец5]]/$B$4*100</f>
        <v>2.2878111654034092</v>
      </c>
      <c r="I14" s="106">
        <f>Таблица224[[#This Row],[Столбец14]]/$C$4*100</f>
        <v>2.3564904847895543</v>
      </c>
      <c r="J14" s="106">
        <f>Таблица224[[#This Row],[Столбец20]]/$D$4*100</f>
        <v>2.5123036340013387</v>
      </c>
    </row>
    <row r="15" spans="1:13" s="18" customFormat="1" ht="23.25" customHeight="1" x14ac:dyDescent="0.2">
      <c r="A15" s="107" t="s">
        <v>24</v>
      </c>
      <c r="B15" s="106">
        <f>B16+B17+B18</f>
        <v>21532</v>
      </c>
      <c r="C15" s="106">
        <f>C16+C17+C18</f>
        <v>23096</v>
      </c>
      <c r="D15" s="106">
        <f>D16+D17+D18</f>
        <v>24900</v>
      </c>
      <c r="E15" s="106">
        <f>Таблица224[[#This Row],[Столбец20]]/Таблица224[[#This Row],[Столбец14]]*100-100</f>
        <v>7.8108763422237644</v>
      </c>
      <c r="F15" s="106">
        <f>Таблица224[[#This Row],[Столбец14]]-Таблица224[[#This Row],[Столбец5]]</f>
        <v>1564</v>
      </c>
      <c r="G15" s="106">
        <f>Таблица224[[#This Row],[Столбец20]]-Таблица224[[#This Row],[Столбец14]]</f>
        <v>1804</v>
      </c>
      <c r="H15" s="106">
        <f>Таблица224[[#This Row],[Столбец5]]/$B$4*100</f>
        <v>20.711015351467815</v>
      </c>
      <c r="I15" s="106">
        <f>Таблица224[[#This Row],[Столбец14]]/$C$4*100</f>
        <v>20.051396027226005</v>
      </c>
      <c r="J15" s="106">
        <f>Таблица224[[#This Row],[Столбец20]]/$D$4*100</f>
        <v>19.607071144533251</v>
      </c>
    </row>
    <row r="16" spans="1:13" s="18" customFormat="1" ht="21.75" customHeight="1" x14ac:dyDescent="0.2">
      <c r="A16" s="19" t="s">
        <v>62</v>
      </c>
      <c r="B16" s="20">
        <v>19580</v>
      </c>
      <c r="C16" s="20">
        <f>20356+900</f>
        <v>21256</v>
      </c>
      <c r="D16" s="20">
        <f>21900+900</f>
        <v>22800</v>
      </c>
      <c r="E16" s="20">
        <f>Таблица224[[#This Row],[Столбец20]]/Таблица224[[#This Row],[Столбец14]]*100-100</f>
        <v>7.2638313887843537</v>
      </c>
      <c r="F16" s="20">
        <f>Таблица224[[#This Row],[Столбец14]]-Таблица224[[#This Row],[Столбец5]]</f>
        <v>1676</v>
      </c>
      <c r="G16" s="20">
        <f>Таблица224[[#This Row],[Столбец20]]-Таблица224[[#This Row],[Столбец14]]</f>
        <v>1544</v>
      </c>
      <c r="H16" s="20">
        <f>Таблица224[[#This Row],[Столбец5]]/$B$4*100</f>
        <v>18.833442345427262</v>
      </c>
      <c r="I16" s="16">
        <f>Таблица224[[#This Row],[Столбец14]]/$C$4*100</f>
        <v>18.453951937769133</v>
      </c>
      <c r="J16" s="20">
        <f>Таблица224[[#This Row],[Столбец20]]/$D$4*100</f>
        <v>17.953462734753337</v>
      </c>
    </row>
    <row r="17" spans="1:10" s="18" customFormat="1" ht="21.75" customHeight="1" x14ac:dyDescent="0.2">
      <c r="A17" s="19" t="s">
        <v>45</v>
      </c>
      <c r="B17" s="20">
        <v>1420</v>
      </c>
      <c r="C17" s="20">
        <v>1540</v>
      </c>
      <c r="D17" s="20">
        <v>1800</v>
      </c>
      <c r="E17" s="20">
        <f>Таблица224[[#This Row],[Столбец20]]/Таблица224[[#This Row],[Столбец14]]*100-100</f>
        <v>16.883116883116884</v>
      </c>
      <c r="F17" s="20">
        <f>Таблица224[[#This Row],[Столбец14]]-Таблица224[[#This Row],[Столбец5]]</f>
        <v>120</v>
      </c>
      <c r="G17" s="20">
        <f>Таблица224[[#This Row],[Столбец20]]-Таблица224[[#This Row],[Столбец14]]</f>
        <v>260</v>
      </c>
      <c r="H17" s="20">
        <f>Таблица224[[#This Row],[Столбец5]]/$B$4*100</f>
        <v>1.3658574121811395</v>
      </c>
      <c r="I17" s="16">
        <f>Таблица224[[#This Row],[Столбец14]]/$C$4*100</f>
        <v>1.3369912487845534</v>
      </c>
      <c r="J17" s="20">
        <f>Таблица224[[#This Row],[Столбец20]]/$D$4*100</f>
        <v>1.4173786369542107</v>
      </c>
    </row>
    <row r="18" spans="1:10" s="18" customFormat="1" ht="21.75" customHeight="1" x14ac:dyDescent="0.2">
      <c r="A18" s="19" t="s">
        <v>25</v>
      </c>
      <c r="B18" s="20">
        <v>532</v>
      </c>
      <c r="C18" s="20">
        <v>300</v>
      </c>
      <c r="D18" s="20">
        <v>300</v>
      </c>
      <c r="E18" s="20">
        <f>Таблица224[[#This Row],[Столбец20]]/Таблица224[[#This Row],[Столбец14]]*100-100</f>
        <v>0</v>
      </c>
      <c r="F18" s="20">
        <f>Таблица224[[#This Row],[Столбец14]]-Таблица224[[#This Row],[Столбец5]]</f>
        <v>-232</v>
      </c>
      <c r="G18" s="20">
        <f>Таблица224[[#This Row],[Столбец20]]-Таблица224[[#This Row],[Столбец14]]</f>
        <v>0</v>
      </c>
      <c r="H18" s="20">
        <f>Таблица224[[#This Row],[Столбец5]]/$B$4*100</f>
        <v>0.5117155938594129</v>
      </c>
      <c r="I18" s="16">
        <f>Таблица224[[#This Row],[Столбец14]]/$C$4*100</f>
        <v>0.26045284067231561</v>
      </c>
      <c r="J18" s="20">
        <f>Таблица224[[#This Row],[Столбец20]]/$D$4*100</f>
        <v>0.23622977282570179</v>
      </c>
    </row>
    <row r="19" spans="1:10" ht="21.75" customHeight="1" x14ac:dyDescent="0.2">
      <c r="A19" s="107" t="s">
        <v>51</v>
      </c>
      <c r="B19" s="106">
        <f>B20+B24+B27</f>
        <v>31831.510953000001</v>
      </c>
      <c r="C19" s="106">
        <f>C20+C24+C27</f>
        <v>34133.714</v>
      </c>
      <c r="D19" s="106">
        <f>D20+D24+D27</f>
        <v>36764.778000000006</v>
      </c>
      <c r="E19" s="106">
        <f>Таблица224[[#This Row],[Столбец20]]/Таблица224[[#This Row],[Столбец14]]*100-100</f>
        <v>7.7081093490148902</v>
      </c>
      <c r="F19" s="106">
        <f>Таблица224[[#This Row],[Столбец14]]-Таблица224[[#This Row],[Столбец5]]</f>
        <v>2302.2030469999991</v>
      </c>
      <c r="G19" s="106">
        <f>Таблица224[[#This Row],[Столбец20]]-Таблица224[[#This Row],[Столбец14]]</f>
        <v>2631.0640000000058</v>
      </c>
      <c r="H19" s="106">
        <f>Таблица224[[#This Row],[Столбец5]]/$B$4*100</f>
        <v>30.617820546535341</v>
      </c>
      <c r="I19" s="106">
        <f>Таблица224[[#This Row],[Столбец14]]/$C$4*100</f>
        <v>29.634075913321293</v>
      </c>
      <c r="J19" s="106">
        <f>Таблица224[[#This Row],[Столбец20]]/$D$4*100</f>
        <v>28.949783849757871</v>
      </c>
    </row>
    <row r="20" spans="1:10" s="18" customFormat="1" ht="21.75" customHeight="1" x14ac:dyDescent="0.2">
      <c r="A20" s="108" t="s">
        <v>27</v>
      </c>
      <c r="B20" s="106">
        <f t="shared" ref="B20:D21" si="0">B29+B36+B43+B78+B124</f>
        <v>23123.481803000002</v>
      </c>
      <c r="C20" s="106">
        <f t="shared" si="0"/>
        <v>23826.438999999998</v>
      </c>
      <c r="D20" s="106">
        <f t="shared" si="0"/>
        <v>25720.004000000001</v>
      </c>
      <c r="E20" s="106">
        <f>Таблица224[[#This Row],[Столбец20]]/Таблица224[[#This Row],[Столбец14]]*100-100</f>
        <v>7.9473269169597813</v>
      </c>
      <c r="F20" s="106">
        <f>Таблица224[[#This Row],[Столбец14]]-Таблица224[[#This Row],[Столбец5]]</f>
        <v>702.95719699999609</v>
      </c>
      <c r="G20" s="106">
        <f>Таблица224[[#This Row],[Столбец20]]-Таблица224[[#This Row],[Столбец14]]</f>
        <v>1893.5650000000023</v>
      </c>
      <c r="H20" s="106">
        <f>Таблица224[[#This Row],[Столбец5]]/$B$4*100</f>
        <v>22.241816208495251</v>
      </c>
      <c r="I20" s="106">
        <f>Таблица224[[#This Row],[Столбец14]]/$C$4*100</f>
        <v>20.685545735518822</v>
      </c>
      <c r="J20" s="106">
        <f>Таблица224[[#This Row],[Столбец20]]/$D$4*100</f>
        <v>20.252769006653807</v>
      </c>
    </row>
    <row r="21" spans="1:10" s="18" customFormat="1" ht="21.75" customHeight="1" x14ac:dyDescent="0.2">
      <c r="A21" s="21" t="s">
        <v>33</v>
      </c>
      <c r="B21" s="20">
        <f t="shared" si="0"/>
        <v>6580.8811349999987</v>
      </c>
      <c r="C21" s="20">
        <f t="shared" si="0"/>
        <v>6110.2299999999987</v>
      </c>
      <c r="D21" s="20">
        <f t="shared" si="0"/>
        <v>6117.329999999999</v>
      </c>
      <c r="E21" s="20">
        <f>Таблица224[[#This Row],[Столбец20]]/Таблица224[[#This Row],[Столбец14]]*100-100</f>
        <v>0.11619857190319749</v>
      </c>
      <c r="F21" s="20">
        <f>Таблица224[[#This Row],[Столбец14]]-Таблица224[[#This Row],[Столбец5]]</f>
        <v>-470.65113500000007</v>
      </c>
      <c r="G21" s="20">
        <f>Таблица224[[#This Row],[Столбец20]]-Таблица224[[#This Row],[Столбец14]]</f>
        <v>7.1000000000003638</v>
      </c>
      <c r="H21" s="20">
        <f>Таблица224[[#This Row],[Столбец5]]/$B$4*100</f>
        <v>6.3299614626216751</v>
      </c>
      <c r="I21" s="20">
        <f>Таблица224[[#This Row],[Столбец14]]/$C$4*100</f>
        <v>5.3047558688706751</v>
      </c>
      <c r="J21" s="20">
        <f>Таблица224[[#This Row],[Столбец20]]/$D$4*100</f>
        <v>4.816984920666167</v>
      </c>
    </row>
    <row r="22" spans="1:10" s="18" customFormat="1" ht="21.75" customHeight="1" x14ac:dyDescent="0.2">
      <c r="A22" s="21" t="s">
        <v>34</v>
      </c>
      <c r="B22" s="20">
        <f>B31+B38+B45+B80-0.2</f>
        <v>3671.2000000000003</v>
      </c>
      <c r="C22" s="20">
        <f>SUM(C31,C38,C45,C80)</f>
        <v>3981.9399999999996</v>
      </c>
      <c r="D22" s="20">
        <f>SUM(D31,D38,D45,D80,)</f>
        <v>4221.0480000000007</v>
      </c>
      <c r="E22" s="20">
        <f>Таблица224[[#This Row],[Столбец20]]/Таблица224[[#This Row],[Столбец14]]*100-100</f>
        <v>6.0048117249381221</v>
      </c>
      <c r="F22" s="20">
        <f>Таблица224[[#This Row],[Столбец14]]-Таблица224[[#This Row],[Столбец5]]</f>
        <v>310.73999999999933</v>
      </c>
      <c r="G22" s="20">
        <f>Таблица224[[#This Row],[Столбец20]]-Таблица224[[#This Row],[Столбец14]]</f>
        <v>239.10800000000108</v>
      </c>
      <c r="H22" s="20">
        <f>Таблица224[[#This Row],[Столбец5]]/$B$4*100</f>
        <v>3.5312223461967607</v>
      </c>
      <c r="I22" s="20">
        <f>Таблица224[[#This Row],[Столбец14]]/$C$4*100</f>
        <v>3.4570252812890674</v>
      </c>
      <c r="J22" s="20">
        <f>Таблица224[[#This Row],[Столбец20]]/$D$4*100</f>
        <v>3.3237907004212772</v>
      </c>
    </row>
    <row r="23" spans="1:10" ht="21.75" customHeight="1" x14ac:dyDescent="0.2">
      <c r="A23" s="22" t="s">
        <v>35</v>
      </c>
      <c r="B23" s="20">
        <f>B32+B39+B46+B81+B124-B125</f>
        <v>12871.200667999999</v>
      </c>
      <c r="C23" s="20">
        <f>C32+C39+C46+C81+C124-C125</f>
        <v>13734.269</v>
      </c>
      <c r="D23" s="20">
        <f>D32+D39+D46+D81+D124-D125</f>
        <v>15381.626</v>
      </c>
      <c r="E23" s="20">
        <f>Таблица224[[#This Row],[Столбец20]]/Таблица224[[#This Row],[Столбец14]]*100-100</f>
        <v>11.994500763018408</v>
      </c>
      <c r="F23" s="20">
        <f>Таблица224[[#This Row],[Столбец14]]-Таблица224[[#This Row],[Столбец5]]</f>
        <v>863.06833200000074</v>
      </c>
      <c r="G23" s="20">
        <f>Таблица224[[#This Row],[Столбец20]]-Таблица224[[#This Row],[Столбец14]]</f>
        <v>1647.357</v>
      </c>
      <c r="H23" s="20">
        <f>Таблица224[[#This Row],[Столбец5]]/$B$4*100</f>
        <v>12.380440025393405</v>
      </c>
      <c r="I23" s="20">
        <f>Таблица224[[#This Row],[Столбец14]]/$C$4*100</f>
        <v>11.923764585359079</v>
      </c>
      <c r="J23" s="20">
        <f>Таблица224[[#This Row],[Столбец20]]/$D$4*100</f>
        <v>12.111993385566361</v>
      </c>
    </row>
    <row r="24" spans="1:10" s="18" customFormat="1" ht="21.75" customHeight="1" x14ac:dyDescent="0.2">
      <c r="A24" s="108" t="s">
        <v>32</v>
      </c>
      <c r="B24" s="106">
        <f>B33+B40+B47+B82</f>
        <v>6463.9029999999993</v>
      </c>
      <c r="C24" s="106">
        <f>C33+C40+C47+C82</f>
        <v>7746.5609999999997</v>
      </c>
      <c r="D24" s="106">
        <f>D33+D40+D47+D82</f>
        <v>8034.87</v>
      </c>
      <c r="E24" s="106">
        <f>Таблица224[[#This Row],[Столбец20]]/Таблица224[[#This Row],[Столбец14]]*100-100</f>
        <v>3.7217676334053209</v>
      </c>
      <c r="F24" s="106">
        <f>Таблица224[[#This Row],[Столбец14]]-Таблица224[[#This Row],[Столбец5]]</f>
        <v>1282.6580000000004</v>
      </c>
      <c r="G24" s="106">
        <f>Таблица224[[#This Row],[Столбец20]]-Таблица224[[#This Row],[Столбец14]]</f>
        <v>288.3090000000002</v>
      </c>
      <c r="H24" s="106">
        <f>Таблица224[[#This Row],[Столбец5]]/$B$4*100</f>
        <v>6.2174435381478199</v>
      </c>
      <c r="I24" s="106">
        <f>Таблица224[[#This Row],[Столбец14]]/$C$4*100</f>
        <v>6.7253793929712451</v>
      </c>
      <c r="J24" s="106">
        <f>Таблица224[[#This Row],[Столбец20]]/$D$4*100</f>
        <v>6.3269183826134885</v>
      </c>
    </row>
    <row r="25" spans="1:10" s="18" customFormat="1" ht="21.75" customHeight="1" x14ac:dyDescent="0.2">
      <c r="A25" s="21" t="s">
        <v>36</v>
      </c>
      <c r="B25" s="16">
        <f>39.9+45.12+144.477+308.815+475.36+295.327+1044.588+232.91+876.75</f>
        <v>3463.2469999999998</v>
      </c>
      <c r="C25" s="16">
        <f>109.854+59.522+203.574+354.975+530.74+368.216+1631.669+209.226+923.491</f>
        <v>4391.2669999999998</v>
      </c>
      <c r="D25" s="16">
        <v>2861.395</v>
      </c>
      <c r="E25" s="16">
        <f>Таблица224[[#This Row],[Столбец20]]/Таблица224[[#This Row],[Столбец14]]*100-100</f>
        <v>-34.838965610608511</v>
      </c>
      <c r="F25" s="16">
        <f>Таблица224[[#This Row],[Столбец14]]-Таблица224[[#This Row],[Столбец5]]</f>
        <v>928.02</v>
      </c>
      <c r="G25" s="16">
        <f>Таблица224[[#This Row],[Столбец20]]-Таблица224[[#This Row],[Столбец14]]</f>
        <v>-1529.8719999999998</v>
      </c>
      <c r="H25" s="16">
        <f>Таблица224[[#This Row],[Столбец5]]/$B$4*100</f>
        <v>3.3311982994113345</v>
      </c>
      <c r="I25" s="16">
        <f>Таблица224[[#This Row],[Столбец14]]/$C$4*100</f>
        <v>3.8123932143353247</v>
      </c>
      <c r="J25" s="16">
        <f>Таблица224[[#This Row],[Столбец20]]/$D$4*100</f>
        <v>2.2531556360486635</v>
      </c>
    </row>
    <row r="26" spans="1:10" ht="21.75" customHeight="1" x14ac:dyDescent="0.2">
      <c r="A26" s="21" t="s">
        <v>37</v>
      </c>
      <c r="B26" s="16">
        <f>252.39+83.637+93.121+1289.541+512.236+769.731</f>
        <v>3000.6559999999999</v>
      </c>
      <c r="C26" s="16">
        <f>133.317+97.248+24.621+2275.577+304.927+519.606</f>
        <v>3355.2960000000003</v>
      </c>
      <c r="D26" s="16">
        <v>3182.9760000000001</v>
      </c>
      <c r="E26" s="16">
        <f>Таблица224[[#This Row],[Столбец20]]/Таблица224[[#This Row],[Столбец14]]*100-100</f>
        <v>-5.1357614946639529</v>
      </c>
      <c r="F26" s="16">
        <f>Таблица224[[#This Row],[Столбец14]]-Таблица224[[#This Row],[Столбец5]]</f>
        <v>354.64000000000033</v>
      </c>
      <c r="G26" s="16">
        <f>Таблица224[[#This Row],[Столбец20]]-Таблица224[[#This Row],[Столбец14]]</f>
        <v>-172.32000000000016</v>
      </c>
      <c r="H26" s="16">
        <f>Таблица224[[#This Row],[Столбец5]]/$B$4*100</f>
        <v>2.8862452387364854</v>
      </c>
      <c r="I26" s="16">
        <f>Таблица224[[#This Row],[Столбец14]]/$C$4*100</f>
        <v>2.912987914988193</v>
      </c>
      <c r="J26" s="16">
        <f>Таблица224[[#This Row],[Столбец20]]/$D$4*100</f>
        <v>2.5063789912988703</v>
      </c>
    </row>
    <row r="27" spans="1:10" ht="21.75" customHeight="1" x14ac:dyDescent="0.2">
      <c r="A27" s="108" t="s">
        <v>29</v>
      </c>
      <c r="B27" s="106">
        <f>B34+B41+B48+B83</f>
        <v>2244.1261500000001</v>
      </c>
      <c r="C27" s="106">
        <f>C34+C41+C48+C83</f>
        <v>2560.7139999999995</v>
      </c>
      <c r="D27" s="106">
        <f>D34+D41+D48+D83</f>
        <v>3009.904</v>
      </c>
      <c r="E27" s="106">
        <f>Таблица224[[#This Row],[Столбец20]]/Таблица224[[#This Row],[Столбец14]]*100-100</f>
        <v>17.541591915379868</v>
      </c>
      <c r="F27" s="106">
        <f>Таблица224[[#This Row],[Столбец14]]-Таблица224[[#This Row],[Столбец5]]</f>
        <v>316.58784999999943</v>
      </c>
      <c r="G27" s="106">
        <f>Таблица224[[#This Row],[Столбец20]]-Таблица224[[#This Row],[Столбец14]]</f>
        <v>449.19000000000051</v>
      </c>
      <c r="H27" s="106">
        <f>Таблица224[[#This Row],[Столбец5]]/$B$4*100</f>
        <v>2.1585607998922707</v>
      </c>
      <c r="I27" s="106">
        <f>Таблица224[[#This Row],[Столбец14]]/$C$4*100</f>
        <v>2.2231507848312262</v>
      </c>
      <c r="J27" s="106">
        <f>Таблица224[[#This Row],[Столбец20]]/$D$4*100</f>
        <v>2.3700964604905703</v>
      </c>
    </row>
    <row r="28" spans="1:10" ht="24.75" customHeight="1" x14ac:dyDescent="0.2">
      <c r="A28" s="107" t="s">
        <v>12</v>
      </c>
      <c r="B28" s="106">
        <f>B29+B33+B34</f>
        <v>1477.6000000000001</v>
      </c>
      <c r="C28" s="106">
        <f>SUM(C29,C33,C34)</f>
        <v>1623.154</v>
      </c>
      <c r="D28" s="106">
        <f>SUM(D29,D33,D34)</f>
        <v>1954</v>
      </c>
      <c r="E28" s="106">
        <f>Таблица224[[#This Row],[Столбец20]]/Таблица224[[#This Row],[Столбец14]]*100-100</f>
        <v>20.382908830585393</v>
      </c>
      <c r="F28" s="106">
        <f>Таблица224[[#This Row],[Столбец14]]-Таблица224[[#This Row],[Столбец5]]</f>
        <v>145.55399999999986</v>
      </c>
      <c r="G28" s="106">
        <f>Таблица224[[#This Row],[Столбец20]]-Таблица224[[#This Row],[Столбец14]]</f>
        <v>330.846</v>
      </c>
      <c r="H28" s="106">
        <f>Таблица224[[#This Row],[Столбец5]]/$B$4*100</f>
        <v>1.4212612058020084</v>
      </c>
      <c r="I28" s="106">
        <f>Таблица224[[#This Row],[Столбец14]]/$C$4*100</f>
        <v>1.4091835671621058</v>
      </c>
      <c r="J28" s="106">
        <f>Таблица224[[#This Row],[Столбец20]]/$D$4*100</f>
        <v>1.5386432536714043</v>
      </c>
    </row>
    <row r="29" spans="1:10" ht="21.75" customHeight="1" x14ac:dyDescent="0.2">
      <c r="A29" s="23" t="s">
        <v>27</v>
      </c>
      <c r="B29" s="16">
        <f>B30+B31+B32</f>
        <v>1175</v>
      </c>
      <c r="C29" s="16">
        <f t="shared" ref="C29:I29" si="1">C30+C31+C32</f>
        <v>1245.4000000000001</v>
      </c>
      <c r="D29" s="16">
        <f t="shared" si="1"/>
        <v>1392.1</v>
      </c>
      <c r="E29" s="16">
        <f>Таблица224[[#This Row],[Столбец20]]/Таблица224[[#This Row],[Столбец14]]*100-100</f>
        <v>11.779348000642358</v>
      </c>
      <c r="F29" s="16">
        <f>Таблица224[[#This Row],[Столбец14]]-Таблица224[[#This Row],[Столбец5]]</f>
        <v>70.400000000000091</v>
      </c>
      <c r="G29" s="16">
        <f>Таблица224[[#This Row],[Столбец20]]-Таблица224[[#This Row],[Столбец14]]</f>
        <v>146.69999999999982</v>
      </c>
      <c r="H29" s="16">
        <f t="shared" si="1"/>
        <v>1.1301989150090415</v>
      </c>
      <c r="I29" s="16">
        <f t="shared" si="1"/>
        <v>1.0812265592443395</v>
      </c>
      <c r="J29" s="16">
        <f>Таблица224[[#This Row],[Столбец20]]/$D$4*100</f>
        <v>1.0961848891688648</v>
      </c>
    </row>
    <row r="30" spans="1:10" ht="19.5" customHeight="1" x14ac:dyDescent="0.2">
      <c r="A30" s="21" t="s">
        <v>33</v>
      </c>
      <c r="B30" s="16">
        <v>491.2</v>
      </c>
      <c r="C30" s="16">
        <v>500.7</v>
      </c>
      <c r="D30" s="16">
        <v>507.8</v>
      </c>
      <c r="E30" s="16">
        <f>Таблица224[[#This Row],[Столбец20]]/Таблица224[[#This Row],[Столбец14]]*100-100</f>
        <v>1.4180147793089617</v>
      </c>
      <c r="F30" s="16">
        <f>Таблица224[[#This Row],[Столбец14]]-Таблица224[[#This Row],[Столбец5]]</f>
        <v>9.5</v>
      </c>
      <c r="G30" s="16">
        <f>Таблица224[[#This Row],[Столбец20]]-Таблица224[[#This Row],[Столбец14]]</f>
        <v>7.1000000000000227</v>
      </c>
      <c r="H30" s="16">
        <f>Таблица224[[#This Row],[Столбец5]]/$B$4*100</f>
        <v>0.47247124004463081</v>
      </c>
      <c r="I30" s="16">
        <f>Таблица224[[#This Row],[Столбец14]]/$C$4*100</f>
        <v>0.43469579108209477</v>
      </c>
      <c r="J30" s="16">
        <f>Таблица224[[#This Row],[Столбец20]]/$D$4*100</f>
        <v>0.3998582621363046</v>
      </c>
    </row>
    <row r="31" spans="1:10" ht="19.5" customHeight="1" x14ac:dyDescent="0.2">
      <c r="A31" s="21" t="s">
        <v>34</v>
      </c>
      <c r="B31" s="16">
        <v>146</v>
      </c>
      <c r="C31" s="16">
        <v>161</v>
      </c>
      <c r="D31" s="16">
        <v>170.7</v>
      </c>
      <c r="E31" s="16">
        <f>Таблица224[[#This Row],[Столбец20]]/Таблица224[[#This Row],[Столбец14]]*100-100</f>
        <v>6.0248447204968869</v>
      </c>
      <c r="F31" s="16">
        <f>Таблица224[[#This Row],[Столбец14]]-Таблица224[[#This Row],[Столбец5]]</f>
        <v>15</v>
      </c>
      <c r="G31" s="16">
        <f>Таблица224[[#This Row],[Столбец20]]-Таблица224[[#This Row],[Столбец14]]</f>
        <v>9.6999999999999886</v>
      </c>
      <c r="H31" s="16">
        <f>Таблица224[[#This Row],[Столбец5]]/$B$4*100</f>
        <v>0.14043322688622983</v>
      </c>
      <c r="I31" s="16">
        <f>Таблица224[[#This Row],[Столбец14]]/$C$4*100</f>
        <v>0.13977635782747602</v>
      </c>
      <c r="J31" s="16">
        <f>Таблица224[[#This Row],[Столбец20]]/$D$4*100</f>
        <v>0.13441474073782431</v>
      </c>
    </row>
    <row r="32" spans="1:10" ht="19.5" customHeight="1" x14ac:dyDescent="0.2">
      <c r="A32" s="21" t="s">
        <v>35</v>
      </c>
      <c r="B32" s="20">
        <f>515.4+22.4</f>
        <v>537.79999999999995</v>
      </c>
      <c r="C32" s="20">
        <f>559.5+24.2</f>
        <v>583.70000000000005</v>
      </c>
      <c r="D32" s="20">
        <f>687.9+25.7</f>
        <v>713.6</v>
      </c>
      <c r="E32" s="20">
        <f>Таблица224[[#This Row],[Столбец20]]/Таблица224[[#This Row],[Столбец14]]*100-100</f>
        <v>22.254582833647405</v>
      </c>
      <c r="F32" s="20">
        <f>Таблица224[[#This Row],[Столбец14]]-Таблица224[[#This Row],[Столбец5]]</f>
        <v>45.900000000000091</v>
      </c>
      <c r="G32" s="20">
        <f>Таблица224[[#This Row],[Столбец20]]-Таблица224[[#This Row],[Столбец14]]</f>
        <v>129.89999999999998</v>
      </c>
      <c r="H32" s="20">
        <f>Таблица224[[#This Row],[Столбец5]]/$B$4*100</f>
        <v>0.51729444807818092</v>
      </c>
      <c r="I32" s="16">
        <f>Таблица224[[#This Row],[Столбец14]]/$C$4*100</f>
        <v>0.50675441033476876</v>
      </c>
      <c r="J32" s="20">
        <f>Таблица224[[#This Row],[Столбец20]]/$D$4*100</f>
        <v>0.5619118862947361</v>
      </c>
    </row>
    <row r="33" spans="1:10" ht="21.75" customHeight="1" x14ac:dyDescent="0.2">
      <c r="A33" s="23" t="s">
        <v>28</v>
      </c>
      <c r="B33" s="16">
        <v>39.9</v>
      </c>
      <c r="C33" s="16">
        <v>109.854</v>
      </c>
      <c r="D33" s="16">
        <v>289.89999999999998</v>
      </c>
      <c r="E33" s="16">
        <f>Таблица224[[#This Row],[Столбец20]]/Таблица224[[#This Row],[Столбец14]]*100-100</f>
        <v>163.89571613232107</v>
      </c>
      <c r="F33" s="16">
        <f>Таблица224[[#This Row],[Столбец14]]-Таблица224[[#This Row],[Столбец5]]</f>
        <v>69.954000000000008</v>
      </c>
      <c r="G33" s="16">
        <f>Таблица224[[#This Row],[Столбец20]]-Таблица224[[#This Row],[Столбец14]]</f>
        <v>180.04599999999999</v>
      </c>
      <c r="H33" s="16">
        <f>Таблица224[[#This Row],[Столбец5]]/$B$4*100</f>
        <v>3.8378669539455963E-2</v>
      </c>
      <c r="I33" s="16">
        <f>Таблица224[[#This Row],[Столбец14]]/$C$4*100</f>
        <v>9.5372621197388527E-2</v>
      </c>
      <c r="J33" s="16">
        <f>Таблица224[[#This Row],[Столбец20]]/$D$4*100</f>
        <v>0.2282767038072365</v>
      </c>
    </row>
    <row r="34" spans="1:10" s="14" customFormat="1" ht="21.75" customHeight="1" x14ac:dyDescent="0.2">
      <c r="A34" s="23" t="s">
        <v>29</v>
      </c>
      <c r="B34" s="16">
        <v>262.7</v>
      </c>
      <c r="C34" s="16">
        <v>267.89999999999998</v>
      </c>
      <c r="D34" s="16">
        <v>272</v>
      </c>
      <c r="E34" s="16">
        <f>Таблица224[[#This Row],[Столбец20]]/Таблица224[[#This Row],[Столбец14]]*100-100</f>
        <v>1.5304217991788107</v>
      </c>
      <c r="F34" s="16">
        <f>Таблица224[[#This Row],[Столбец14]]-Таблица224[[#This Row],[Столбец5]]</f>
        <v>5.1999999999999886</v>
      </c>
      <c r="G34" s="16">
        <f>Таблица224[[#This Row],[Столбец20]]-Таблица224[[#This Row],[Столбец14]]</f>
        <v>4.1000000000000227</v>
      </c>
      <c r="H34" s="16">
        <f>Таблица224[[#This Row],[Столбец5]]/$B$4*100</f>
        <v>0.25268362125351079</v>
      </c>
      <c r="I34" s="16">
        <f>Таблица224[[#This Row],[Столбец14]]/$C$4*100</f>
        <v>0.23258438672037782</v>
      </c>
      <c r="J34" s="16">
        <f>Таблица224[[#This Row],[Столбец20]]/$D$4*100</f>
        <v>0.21418166069530295</v>
      </c>
    </row>
    <row r="35" spans="1:10" ht="39.75" customHeight="1" x14ac:dyDescent="0.2">
      <c r="A35" s="107" t="s">
        <v>30</v>
      </c>
      <c r="B35" s="106">
        <f>SUM(B36,B40,B41)</f>
        <v>2215.8200000000002</v>
      </c>
      <c r="C35" s="106">
        <f>SUM(C36,C40,C41)</f>
        <v>2672.1219999999998</v>
      </c>
      <c r="D35" s="106">
        <f>SUM(D36,D40,D41)</f>
        <v>2959.6200000000003</v>
      </c>
      <c r="E35" s="106">
        <f>Таблица224[[#This Row],[Столбец20]]/Таблица224[[#This Row],[Столбец14]]*100-100</f>
        <v>10.759164439348211</v>
      </c>
      <c r="F35" s="106">
        <f>Таблица224[[#This Row],[Столбец14]]-Таблица224[[#This Row],[Столбец5]]</f>
        <v>456.30199999999968</v>
      </c>
      <c r="G35" s="106">
        <f>Таблица224[[#This Row],[Столбец20]]-Таблица224[[#This Row],[Столбец14]]</f>
        <v>287.4980000000005</v>
      </c>
      <c r="H35" s="106">
        <f>Таблица224[[#This Row],[Столбец5]]/$B$4*100</f>
        <v>2.1313339232811361</v>
      </c>
      <c r="I35" s="106">
        <f>Таблица224[[#This Row],[Столбец14]]/$C$4*100</f>
        <v>2.3198725517432974</v>
      </c>
      <c r="J35" s="106">
        <f>Таблица224[[#This Row],[Столбец20]]/$D$4*100</f>
        <v>2.330501200834679</v>
      </c>
    </row>
    <row r="36" spans="1:10" ht="21.75" customHeight="1" x14ac:dyDescent="0.2">
      <c r="A36" s="23" t="s">
        <v>27</v>
      </c>
      <c r="B36" s="16">
        <f>B37+B38+B39</f>
        <v>1928.4</v>
      </c>
      <c r="C36" s="16">
        <f t="shared" ref="C36:I36" si="2">C37+C38+C39</f>
        <v>2357.5</v>
      </c>
      <c r="D36" s="16">
        <f t="shared" si="2"/>
        <v>2597.5</v>
      </c>
      <c r="E36" s="16">
        <f>Таблица224[[#This Row],[Столбец20]]/Таблица224[[#This Row],[Столбец14]]*100-100</f>
        <v>10.180275715800647</v>
      </c>
      <c r="F36" s="16">
        <f>Таблица224[[#This Row],[Столбец14]]-Таблица224[[#This Row],[Столбец5]]</f>
        <v>429.09999999999991</v>
      </c>
      <c r="G36" s="16">
        <f>Таблица224[[#This Row],[Столбец20]]-Таблица224[[#This Row],[Столбец14]]</f>
        <v>240</v>
      </c>
      <c r="H36" s="16">
        <f t="shared" si="2"/>
        <v>1.8548728405986687</v>
      </c>
      <c r="I36" s="16">
        <f t="shared" si="2"/>
        <v>2.0467252396166131</v>
      </c>
      <c r="J36" s="16">
        <f>Таблица224[[#This Row],[Столбец20]]/$D$4*100</f>
        <v>2.0453561163825347</v>
      </c>
    </row>
    <row r="37" spans="1:10" ht="21.75" customHeight="1" x14ac:dyDescent="0.2">
      <c r="A37" s="21" t="s">
        <v>33</v>
      </c>
      <c r="B37" s="16">
        <v>906.4</v>
      </c>
      <c r="C37" s="16">
        <v>906.4</v>
      </c>
      <c r="D37" s="16">
        <v>906.4</v>
      </c>
      <c r="E37" s="16">
        <f>Таблица224[[#This Row],[Столбец20]]/Таблица224[[#This Row],[Столбец14]]*100-100</f>
        <v>0</v>
      </c>
      <c r="F37" s="16">
        <f>Таблица224[[#This Row],[Столбец14]]-Таблица224[[#This Row],[Столбец5]]</f>
        <v>0</v>
      </c>
      <c r="G37" s="16">
        <f>Таблица224[[#This Row],[Столбец20]]-Таблица224[[#This Row],[Столбец14]]</f>
        <v>0</v>
      </c>
      <c r="H37" s="16">
        <f>Таблица224[[#This Row],[Столбец5]]/$B$4*100</f>
        <v>0.8718402523950598</v>
      </c>
      <c r="I37" s="16">
        <f>Таблица224[[#This Row],[Столбец14]]/$C$4*100</f>
        <v>0.78691484928462285</v>
      </c>
      <c r="J37" s="16">
        <f>Таблица224[[#This Row],[Столбец20]]/$D$4*100</f>
        <v>0.71372888696405368</v>
      </c>
    </row>
    <row r="38" spans="1:10" ht="21.75" customHeight="1" x14ac:dyDescent="0.2">
      <c r="A38" s="21" t="s">
        <v>34</v>
      </c>
      <c r="B38" s="16">
        <v>99</v>
      </c>
      <c r="C38" s="16">
        <v>104.9</v>
      </c>
      <c r="D38" s="16">
        <v>111.2</v>
      </c>
      <c r="E38" s="16">
        <f>Таблица224[[#This Row],[Столбец20]]/Таблица224[[#This Row],[Столбец14]]*100-100</f>
        <v>6.0057197330791325</v>
      </c>
      <c r="F38" s="16">
        <f>Таблица224[[#This Row],[Столбец14]]-Таблица224[[#This Row],[Столбец5]]</f>
        <v>5.9000000000000057</v>
      </c>
      <c r="G38" s="16">
        <f>Таблица224[[#This Row],[Столбец20]]-Таблица224[[#This Row],[Столбец14]]</f>
        <v>6.2999999999999972</v>
      </c>
      <c r="H38" s="16">
        <f>Таблица224[[#This Row],[Столбец5]]/$B$4*100</f>
        <v>9.5225270285868191E-2</v>
      </c>
      <c r="I38" s="16">
        <f>Таблица224[[#This Row],[Столбец14]]/$C$4*100</f>
        <v>9.1071676621753028E-2</v>
      </c>
      <c r="J38" s="16">
        <f>Таблица224[[#This Row],[Столбец20]]/$D$4*100</f>
        <v>8.7562502460726804E-2</v>
      </c>
    </row>
    <row r="39" spans="1:10" ht="21.75" customHeight="1" x14ac:dyDescent="0.2">
      <c r="A39" s="21" t="s">
        <v>35</v>
      </c>
      <c r="B39" s="16">
        <f>137.1+785.9</f>
        <v>923</v>
      </c>
      <c r="C39" s="16">
        <f>1208.8+137.4</f>
        <v>1346.2</v>
      </c>
      <c r="D39" s="16">
        <f>1442.3+137.6</f>
        <v>1579.8999999999999</v>
      </c>
      <c r="E39" s="16">
        <f>Таблица224[[#This Row],[Столбец20]]/Таблица224[[#This Row],[Столбец14]]*100-100</f>
        <v>17.359976229386405</v>
      </c>
      <c r="F39" s="16">
        <f>Таблица224[[#This Row],[Столбец14]]-Таблица224[[#This Row],[Столбец5]]</f>
        <v>423.20000000000005</v>
      </c>
      <c r="G39" s="16">
        <f>Таблица224[[#This Row],[Столбец20]]-Таблица224[[#This Row],[Столбец14]]</f>
        <v>233.69999999999982</v>
      </c>
      <c r="H39" s="16">
        <f>Таблица224[[#This Row],[Столбец5]]/$B$4*100</f>
        <v>0.8878073179177407</v>
      </c>
      <c r="I39" s="16">
        <f>Таблица224[[#This Row],[Столбец14]]/$C$4*100</f>
        <v>1.1687387137102374</v>
      </c>
      <c r="J39" s="16">
        <f>Таблица224[[#This Row],[Столбец20]]/$D$4*100</f>
        <v>1.2440647269577543</v>
      </c>
    </row>
    <row r="40" spans="1:10" s="18" customFormat="1" ht="21.75" customHeight="1" x14ac:dyDescent="0.2">
      <c r="A40" s="23" t="s">
        <v>28</v>
      </c>
      <c r="B40" s="16">
        <v>45.12</v>
      </c>
      <c r="C40" s="16">
        <f>59.522</f>
        <v>59.521999999999998</v>
      </c>
      <c r="D40" s="16">
        <v>92.32</v>
      </c>
      <c r="E40" s="16">
        <v>0</v>
      </c>
      <c r="F40" s="16">
        <f>Таблица224[[#This Row],[Столбец14]]-Таблица224[[#This Row],[Столбец5]]</f>
        <v>14.402000000000001</v>
      </c>
      <c r="G40" s="16">
        <f>Таблица224[[#This Row],[Столбец20]]-Таблица224[[#This Row],[Столбец14]]</f>
        <v>32.797999999999995</v>
      </c>
      <c r="H40" s="16">
        <f>Таблица224[[#This Row],[Столбец5]]/$B$4*100</f>
        <v>4.3399638336347197E-2</v>
      </c>
      <c r="I40" s="16">
        <f>Таблица224[[#This Row],[Столбец14]]/$C$4*100</f>
        <v>5.1675579941658556E-2</v>
      </c>
      <c r="J40" s="16">
        <f>Таблица224[[#This Row],[Столбец20]]/$D$4*100</f>
        <v>7.2695775424229295E-2</v>
      </c>
    </row>
    <row r="41" spans="1:10" ht="21.75" customHeight="1" x14ac:dyDescent="0.2">
      <c r="A41" s="23" t="s">
        <v>29</v>
      </c>
      <c r="B41" s="16">
        <v>242.3</v>
      </c>
      <c r="C41" s="16">
        <v>255.1</v>
      </c>
      <c r="D41" s="16">
        <v>269.8</v>
      </c>
      <c r="E41" s="16">
        <f>Таблица224[[#This Row],[Столбец20]]/Таблица224[[#This Row],[Столбец14]]*100-100</f>
        <v>5.7624460995687912</v>
      </c>
      <c r="F41" s="16">
        <f>Таблица224[[#This Row],[Столбец14]]-Таблица224[[#This Row],[Столбец5]]</f>
        <v>12.799999999999983</v>
      </c>
      <c r="G41" s="16">
        <f>Таблица224[[#This Row],[Столбец20]]-Таблица224[[#This Row],[Столбец14]]</f>
        <v>14.700000000000017</v>
      </c>
      <c r="H41" s="16">
        <f>Таблица224[[#This Row],[Столбец5]]/$B$4*100</f>
        <v>0.23306144434611983</v>
      </c>
      <c r="I41" s="16">
        <f>Таблица224[[#This Row],[Столбец14]]/$C$4*100</f>
        <v>0.22147173218502572</v>
      </c>
      <c r="J41" s="16">
        <f>Таблица224[[#This Row],[Столбец20]]/$D$4*100</f>
        <v>0.21244930902791451</v>
      </c>
    </row>
    <row r="42" spans="1:10" ht="22.5" customHeight="1" x14ac:dyDescent="0.2">
      <c r="A42" s="105" t="s">
        <v>31</v>
      </c>
      <c r="B42" s="106">
        <f>SUM(B49,B56,B63,B70)</f>
        <v>14155.846000000001</v>
      </c>
      <c r="C42" s="106">
        <f>SUM(C49,C56,C63,C70)</f>
        <v>15180.228999999999</v>
      </c>
      <c r="D42" s="106">
        <f>SUM(D49,D56,D63,D70)</f>
        <v>16097.25</v>
      </c>
      <c r="E42" s="106">
        <f>Таблица224[[#This Row],[Столбец20]]/Таблица224[[#This Row],[Столбец14]]*100-100</f>
        <v>6.040890423985033</v>
      </c>
      <c r="F42" s="106">
        <f>Таблица224[[#This Row],[Столбец14]]-Таблица224[[#This Row],[Столбец5]]</f>
        <v>1024.382999999998</v>
      </c>
      <c r="G42" s="106">
        <f>Таблица224[[#This Row],[Столбец20]]-Таблица224[[#This Row],[Столбец14]]</f>
        <v>917.02100000000064</v>
      </c>
      <c r="H42" s="106">
        <f>Таблица224[[#This Row],[Столбец5]]/$B$4*100</f>
        <v>13.6161036512639</v>
      </c>
      <c r="I42" s="106">
        <f>Таблица224[[#This Row],[Столбец14]]/$C$4*100</f>
        <v>13.179112550354215</v>
      </c>
      <c r="J42" s="106">
        <f>Таблица224[[#This Row],[Столбец20]]/$D$4*100</f>
        <v>12.675499035395093</v>
      </c>
    </row>
    <row r="43" spans="1:10" ht="22.5" customHeight="1" x14ac:dyDescent="0.2">
      <c r="A43" s="23" t="s">
        <v>27</v>
      </c>
      <c r="B43" s="16">
        <f t="shared" ref="B43:B48" si="3">B50+B57+B64+B71</f>
        <v>11506.7</v>
      </c>
      <c r="C43" s="16">
        <f>SUM(C50,C57,C64,C71)</f>
        <v>12129</v>
      </c>
      <c r="D43" s="16">
        <f>SUM(D50,D57,D64,D71)</f>
        <v>12358.000000000002</v>
      </c>
      <c r="E43" s="20">
        <f>Таблица224[[#This Row],[Столбец20]]/Таблица224[[#This Row],[Столбец14]]*100-100</f>
        <v>1.8880369362684633</v>
      </c>
      <c r="F43" s="16">
        <f>Таблица224[[#This Row],[Столбец14]]-Таблица224[[#This Row],[Столбец5]]</f>
        <v>622.29999999999927</v>
      </c>
      <c r="G43" s="16">
        <f>Таблица224[[#This Row],[Столбец20]]-Таблица224[[#This Row],[Столбец14]]</f>
        <v>229.00000000000182</v>
      </c>
      <c r="H43" s="16">
        <f>Таблица224[[#This Row],[Столбец5]]/$B$4*100</f>
        <v>11.067965834327268</v>
      </c>
      <c r="I43" s="16">
        <f>Таблица224[[#This Row],[Столбец14]]/$C$4*100</f>
        <v>10.53010834838172</v>
      </c>
      <c r="J43" s="16">
        <f>Таблица224[[#This Row],[Столбец20]]/$D$4*100</f>
        <v>9.7310917752667443</v>
      </c>
    </row>
    <row r="44" spans="1:10" ht="22.5" customHeight="1" x14ac:dyDescent="0.2">
      <c r="A44" s="21" t="s">
        <v>33</v>
      </c>
      <c r="B44" s="20">
        <f t="shared" si="3"/>
        <v>4490.5999999999995</v>
      </c>
      <c r="C44" s="20">
        <f>C51+C58+C65+C72</f>
        <v>4500.5999999999995</v>
      </c>
      <c r="D44" s="20">
        <f>D51+D58+D65+D72</f>
        <v>4500.5999999999995</v>
      </c>
      <c r="E44" s="20">
        <f>Таблица224[[#This Row],[Столбец20]]/Таблица224[[#This Row],[Столбец14]]*100-100</f>
        <v>0</v>
      </c>
      <c r="F44" s="20">
        <f>Таблица224[[#This Row],[Столбец14]]-Таблица224[[#This Row],[Столбец5]]</f>
        <v>10</v>
      </c>
      <c r="G44" s="20">
        <f>Таблица224[[#This Row],[Столбец20]]-Таблица224[[#This Row],[Столбец14]]</f>
        <v>0</v>
      </c>
      <c r="H44" s="20">
        <f>Таблица224[[#This Row],[Столбец5]]/$B$4*100</f>
        <v>4.3193797853102991</v>
      </c>
      <c r="I44" s="16">
        <f>Таблица224[[#This Row],[Столбец14]]/$C$4*100</f>
        <v>3.9073135157660781</v>
      </c>
      <c r="J44" s="20">
        <f>Таблица224[[#This Row],[Столбец20]]/$D$4*100</f>
        <v>3.5439190519311778</v>
      </c>
    </row>
    <row r="45" spans="1:10" ht="22.5" customHeight="1" x14ac:dyDescent="0.2">
      <c r="A45" s="21" t="s">
        <v>34</v>
      </c>
      <c r="B45" s="20">
        <f t="shared" si="3"/>
        <v>658.40000000000009</v>
      </c>
      <c r="C45" s="20">
        <f>C52+C59+C66+C73</f>
        <v>738.5</v>
      </c>
      <c r="D45" s="20">
        <f>SUM(D52,D59,D66,D73)</f>
        <v>783</v>
      </c>
      <c r="E45" s="20">
        <f>Таблица224[[#This Row],[Столбец20]]/Таблица224[[#This Row],[Столбец14]]*100-100</f>
        <v>6.0257278266756913</v>
      </c>
      <c r="F45" s="20">
        <f>Таблица224[[#This Row],[Столбец14]]-Таблица224[[#This Row],[Столбец5]]</f>
        <v>80.099999999999909</v>
      </c>
      <c r="G45" s="20">
        <f>Таблица224[[#This Row],[Столбец20]]-Таблица224[[#This Row],[Столбец14]]</f>
        <v>44.5</v>
      </c>
      <c r="H45" s="20">
        <f>Таблица224[[#This Row],[Столбец5]]/$B$4*100</f>
        <v>0.63329614097187503</v>
      </c>
      <c r="I45" s="16">
        <f>Таблица224[[#This Row],[Столбец14]]/$C$4*100</f>
        <v>0.64114807612168356</v>
      </c>
      <c r="J45" s="20">
        <f>Таблица224[[#This Row],[Столбец20]]/$D$4*100</f>
        <v>0.61655970707508168</v>
      </c>
    </row>
    <row r="46" spans="1:10" ht="22.5" customHeight="1" x14ac:dyDescent="0.2">
      <c r="A46" s="21" t="s">
        <v>35</v>
      </c>
      <c r="B46" s="20">
        <f t="shared" si="3"/>
        <v>6357.7</v>
      </c>
      <c r="C46" s="20">
        <f>C53+C60+C67+C74</f>
        <v>6889.9</v>
      </c>
      <c r="D46" s="20">
        <f>D53+D60+D67+D74</f>
        <v>7074.4000000000005</v>
      </c>
      <c r="E46" s="20">
        <f>Таблица224[[#This Row],[Столбец20]]/Таблица224[[#This Row],[Столбец14]]*100-100</f>
        <v>2.6778327697063844</v>
      </c>
      <c r="F46" s="20">
        <f>Таблица224[[#This Row],[Столбец14]]-Таблица224[[#This Row],[Столбец5]]</f>
        <v>532.19999999999982</v>
      </c>
      <c r="G46" s="20">
        <f>Таблица224[[#This Row],[Столбец20]]-Таблица224[[#This Row],[Столбец14]]</f>
        <v>184.50000000000091</v>
      </c>
      <c r="H46" s="20">
        <f>Таблица224[[#This Row],[Столбец5]]/$B$4*100</f>
        <v>6.1152899080450922</v>
      </c>
      <c r="I46" s="16">
        <f>Таблица224[[#This Row],[Столбец14]]/$C$4*100</f>
        <v>5.9816467564939568</v>
      </c>
      <c r="J46" s="20">
        <f>Таблица224[[#This Row],[Столбец20]]/$D$4*100</f>
        <v>5.5706130162604834</v>
      </c>
    </row>
    <row r="47" spans="1:10" ht="22.5" customHeight="1" x14ac:dyDescent="0.2">
      <c r="A47" s="23" t="s">
        <v>28</v>
      </c>
      <c r="B47" s="16">
        <f t="shared" si="3"/>
        <v>1084.646</v>
      </c>
      <c r="C47" s="16">
        <f>SUM(C54,C61,C68,C75)</f>
        <v>1157.3290000000002</v>
      </c>
      <c r="D47" s="16">
        <f>SUM(D54,D61,D68,D75)</f>
        <v>1422.75</v>
      </c>
      <c r="E47" s="16">
        <f>Таблица224[[#This Row],[Столбец20]]/Таблица224[[#This Row],[Столбец14]]*100-100</f>
        <v>22.933928036020859</v>
      </c>
      <c r="F47" s="16">
        <f>Таблица224[[#This Row],[Столбец14]]-Таблица224[[#This Row],[Столбец5]]</f>
        <v>72.68300000000022</v>
      </c>
      <c r="G47" s="16">
        <f>Таблица224[[#This Row],[Столбец20]]-Таблица224[[#This Row],[Столбец14]]</f>
        <v>265.42099999999982</v>
      </c>
      <c r="H47" s="16">
        <f>Таблица224[[#This Row],[Столбец5]]/$B$4*100</f>
        <v>1.0432899849948059</v>
      </c>
      <c r="I47" s="16">
        <f>Таблица224[[#This Row],[Столбец14]]/$C$4*100</f>
        <v>1.0047654188081681</v>
      </c>
      <c r="J47" s="16">
        <f>Таблица224[[#This Row],[Столбец20]]/$D$4*100</f>
        <v>1.1203196976258907</v>
      </c>
    </row>
    <row r="48" spans="1:10" ht="22.5" customHeight="1" x14ac:dyDescent="0.2">
      <c r="A48" s="23" t="s">
        <v>29</v>
      </c>
      <c r="B48" s="16">
        <f t="shared" si="3"/>
        <v>1564.4999999999998</v>
      </c>
      <c r="C48" s="16">
        <f>SUM(C55,C62,C69,C76)</f>
        <v>1893.8999999999999</v>
      </c>
      <c r="D48" s="16">
        <f>SUM(D55,D62,D69,D76)</f>
        <v>2316.5</v>
      </c>
      <c r="E48" s="16">
        <f>Таблица224[[#This Row],[Столбец20]]/Таблица224[[#This Row],[Столбец14]]*100-100</f>
        <v>22.313744125877832</v>
      </c>
      <c r="F48" s="16">
        <f>Таблица224[[#This Row],[Столбец14]]-Таблица224[[#This Row],[Столбец5]]</f>
        <v>329.40000000000009</v>
      </c>
      <c r="G48" s="16">
        <f>Таблица224[[#This Row],[Столбец20]]-Таблица224[[#This Row],[Столбец14]]</f>
        <v>422.60000000000014</v>
      </c>
      <c r="H48" s="16">
        <f>Таблица224[[#This Row],[Столбец5]]/$B$4*100</f>
        <v>1.5048478319418257</v>
      </c>
      <c r="I48" s="16">
        <f>Таблица224[[#This Row],[Столбец14]]/$C$4*100</f>
        <v>1.6442387831643281</v>
      </c>
      <c r="J48" s="16">
        <f>Таблица224[[#This Row],[Столбец20]]/$D$4*100</f>
        <v>1.8240875625024608</v>
      </c>
    </row>
    <row r="49" spans="1:35" ht="22.5" customHeight="1" thickBot="1" x14ac:dyDescent="0.25">
      <c r="A49" s="107" t="s">
        <v>2</v>
      </c>
      <c r="B49" s="106">
        <f>SUM(B50,B54,B55)</f>
        <v>5995.067</v>
      </c>
      <c r="C49" s="106">
        <f>SUM(C50,C54,C55)</f>
        <v>6450.6900000000005</v>
      </c>
      <c r="D49" s="106">
        <f>SUM(D50,D54,D55)</f>
        <v>6980.1</v>
      </c>
      <c r="E49" s="106">
        <f>Таблица224[[#This Row],[Столбец20]]/Таблица224[[#This Row],[Столбец14]]*100-100</f>
        <v>8.2070290155006518</v>
      </c>
      <c r="F49" s="106">
        <f>Таблица224[[#This Row],[Столбец14]]-Таблица224[[#This Row],[Столбец5]]</f>
        <v>455.6230000000005</v>
      </c>
      <c r="G49" s="106">
        <f>Таблица224[[#This Row],[Столбец20]]-Таблица224[[#This Row],[Столбец14]]</f>
        <v>529.40999999999985</v>
      </c>
      <c r="H49" s="106">
        <f>Таблица224[[#This Row],[Столбец5]]/$B$4*100</f>
        <v>5.7664835904736256</v>
      </c>
      <c r="I49" s="106">
        <f>Таблица224[[#This Row],[Столбец14]]/$C$4*100</f>
        <v>5.6003351159883321</v>
      </c>
      <c r="J49" s="106">
        <f>Таблица224[[#This Row],[Столбец20]]/$D$4*100</f>
        <v>5.4963581243356039</v>
      </c>
    </row>
    <row r="50" spans="1:35" s="24" customFormat="1" ht="22.5" customHeight="1" x14ac:dyDescent="0.2">
      <c r="A50" s="23" t="s">
        <v>27</v>
      </c>
      <c r="B50" s="16">
        <f>B51+B52+B53</f>
        <v>4549.7</v>
      </c>
      <c r="C50" s="16">
        <f>C51+C52+C53</f>
        <v>4753.7</v>
      </c>
      <c r="D50" s="16">
        <f>D51+D52+D53</f>
        <v>4871.3</v>
      </c>
      <c r="E50" s="16">
        <f>Таблица224[[#This Row],[Столбец20]]/Таблица224[[#This Row],[Столбец14]]*100-100</f>
        <v>2.4738624650272527</v>
      </c>
      <c r="F50" s="16">
        <f>Таблица224[[#This Row],[Столбец14]]-Таблица224[[#This Row],[Столбец5]]</f>
        <v>204</v>
      </c>
      <c r="G50" s="16">
        <f>Таблица224[[#This Row],[Столбец20]]-Таблица224[[#This Row],[Столбец14]]</f>
        <v>117.60000000000036</v>
      </c>
      <c r="H50" s="16">
        <f>Таблица224[[#This Row],[Столбец5]]/$B$4*100</f>
        <v>4.3762263860567119</v>
      </c>
      <c r="I50" s="16">
        <f>Таблица224[[#This Row],[Столбец14]]/$C$4*100</f>
        <v>4.1270488956799554</v>
      </c>
      <c r="J50" s="16">
        <f>Таблица224[[#This Row],[Столбец20]]/$D$4*100</f>
        <v>3.8358203078861375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s="13" customFormat="1" ht="22.5" customHeight="1" x14ac:dyDescent="0.2">
      <c r="A51" s="21" t="s">
        <v>33</v>
      </c>
      <c r="B51" s="16">
        <v>2932.4</v>
      </c>
      <c r="C51" s="16">
        <v>2942.4</v>
      </c>
      <c r="D51" s="16">
        <v>2942.4</v>
      </c>
      <c r="E51" s="16">
        <f>Таблица224[[#This Row],[Столбец20]]/Таблица224[[#This Row],[Столбец14]]*100-100</f>
        <v>0</v>
      </c>
      <c r="F51" s="16">
        <f>Таблица224[[#This Row],[Столбец14]]-Таблица224[[#This Row],[Столбец5]]</f>
        <v>10</v>
      </c>
      <c r="G51" s="16">
        <f>Таблица224[[#This Row],[Столбец20]]-Таблица224[[#This Row],[Столбец14]]</f>
        <v>0</v>
      </c>
      <c r="H51" s="16">
        <f>Таблица224[[#This Row],[Столбец5]]/$B$4*100</f>
        <v>2.8205917432957563</v>
      </c>
      <c r="I51" s="16">
        <f>Таблица224[[#This Row],[Столбец14]]/$C$4*100</f>
        <v>2.5545214613140717</v>
      </c>
      <c r="J51" s="16">
        <f>Таблица224[[#This Row],[Столбец20]]/$D$4*100</f>
        <v>2.316941611874483</v>
      </c>
    </row>
    <row r="52" spans="1:35" s="13" customFormat="1" ht="22.5" customHeight="1" x14ac:dyDescent="0.2">
      <c r="A52" s="21" t="s">
        <v>34</v>
      </c>
      <c r="B52" s="16">
        <v>332.6</v>
      </c>
      <c r="C52" s="16">
        <v>381.6</v>
      </c>
      <c r="D52" s="16">
        <v>404.5</v>
      </c>
      <c r="E52" s="16">
        <f>Таблица224[[#This Row],[Столбец20]]/Таблица224[[#This Row],[Столбец14]]*100-100</f>
        <v>6.0010482180293394</v>
      </c>
      <c r="F52" s="16">
        <f>Таблица224[[#This Row],[Столбец14]]-Таблица224[[#This Row],[Столбец5]]</f>
        <v>49</v>
      </c>
      <c r="G52" s="16">
        <f>Таблица224[[#This Row],[Столбец20]]-Таблица224[[#This Row],[Столбец14]]</f>
        <v>22.899999999999977</v>
      </c>
      <c r="H52" s="16">
        <f>Таблица224[[#This Row],[Столбец5]]/$B$4*100</f>
        <v>0.31991843330383596</v>
      </c>
      <c r="I52" s="16">
        <f>Таблица224[[#This Row],[Столбец14]]/$C$4*100</f>
        <v>0.33129601333518544</v>
      </c>
      <c r="J52" s="16">
        <f>Таблица224[[#This Row],[Столбец20]]/$D$4*100</f>
        <v>0.31851647702665459</v>
      </c>
    </row>
    <row r="53" spans="1:35" s="13" customFormat="1" ht="22.5" customHeight="1" x14ac:dyDescent="0.2">
      <c r="A53" s="21" t="s">
        <v>35</v>
      </c>
      <c r="B53" s="20">
        <v>1284.7</v>
      </c>
      <c r="C53" s="20">
        <f>1356.6+73.1</f>
        <v>1429.6999999999998</v>
      </c>
      <c r="D53" s="20">
        <f>1446.4+78</f>
        <v>1524.4</v>
      </c>
      <c r="E53" s="20">
        <f>Таблица224[[#This Row],[Столбец20]]/Таблица224[[#This Row],[Столбец14]]*100-100</f>
        <v>6.6237672238931538</v>
      </c>
      <c r="F53" s="20">
        <f>Таблица224[[#This Row],[Столбец14]]-Таблица224[[#This Row],[Столбец5]]</f>
        <v>144.99999999999977</v>
      </c>
      <c r="G53" s="20">
        <f>Таблица224[[#This Row],[Столбец20]]-Таблица224[[#This Row],[Столбец14]]</f>
        <v>94.700000000000273</v>
      </c>
      <c r="H53" s="20">
        <f>Таблица224[[#This Row],[Столбец5]]/$B$4*100</f>
        <v>1.2357162094571197</v>
      </c>
      <c r="I53" s="16">
        <f>Таблица224[[#This Row],[Столбец14]]/$C$4*100</f>
        <v>1.2412314210306985</v>
      </c>
      <c r="J53" s="20">
        <f>Таблица224[[#This Row],[Столбец20]]/$D$4*100</f>
        <v>1.2003622189849996</v>
      </c>
    </row>
    <row r="54" spans="1:35" s="13" customFormat="1" ht="22.5" customHeight="1" x14ac:dyDescent="0.2">
      <c r="A54" s="23" t="s">
        <v>28</v>
      </c>
      <c r="B54" s="16">
        <f>144.477+252.39</f>
        <v>396.86699999999996</v>
      </c>
      <c r="C54" s="16">
        <v>336.89</v>
      </c>
      <c r="D54" s="16">
        <v>342.8</v>
      </c>
      <c r="E54" s="16">
        <f>Таблица224[[#This Row],[Столбец20]]/Таблица224[[#This Row],[Столбец14]]*100-100</f>
        <v>1.7542818130547033</v>
      </c>
      <c r="F54" s="16">
        <f>Таблица224[[#This Row],[Столбец14]]-Таблица224[[#This Row],[Столбец5]]</f>
        <v>-59.976999999999975</v>
      </c>
      <c r="G54" s="16">
        <f>Таблица224[[#This Row],[Столбец20]]-Таблица224[[#This Row],[Столбец14]]</f>
        <v>5.910000000000025</v>
      </c>
      <c r="H54" s="16">
        <f>Таблица224[[#This Row],[Столбец5]]/$B$4*100</f>
        <v>0.38173502366203682</v>
      </c>
      <c r="I54" s="16">
        <f>Таблица224[[#This Row],[Столбец14]]/$C$4*100</f>
        <v>0.29247985831365464</v>
      </c>
      <c r="J54" s="16">
        <f>Таблица224[[#This Row],[Столбец20]]/$D$4*100</f>
        <v>0.26993188708216859</v>
      </c>
    </row>
    <row r="55" spans="1:35" ht="22.5" customHeight="1" x14ac:dyDescent="0.2">
      <c r="A55" s="23" t="s">
        <v>29</v>
      </c>
      <c r="B55" s="16">
        <v>1048.5</v>
      </c>
      <c r="C55" s="16">
        <v>1360.1</v>
      </c>
      <c r="D55" s="16">
        <v>1766</v>
      </c>
      <c r="E55" s="16">
        <f>Таблица224[[#This Row],[Столбец20]]/Таблица224[[#This Row],[Столбец14]]*100-100</f>
        <v>29.843393868097934</v>
      </c>
      <c r="F55" s="16">
        <f>Таблица224[[#This Row],[Столбец14]]-Таблица224[[#This Row],[Столбец5]]</f>
        <v>311.59999999999991</v>
      </c>
      <c r="G55" s="16">
        <f>Таблица224[[#This Row],[Столбец20]]-Таблица224[[#This Row],[Столбец14]]</f>
        <v>405.90000000000009</v>
      </c>
      <c r="H55" s="16">
        <f>Таблица224[[#This Row],[Столбец5]]/$B$4*100</f>
        <v>1.0085221807548768</v>
      </c>
      <c r="I55" s="16">
        <f>Таблица224[[#This Row],[Столбец14]]/$C$4*100</f>
        <v>1.1808063619947213</v>
      </c>
      <c r="J55" s="16">
        <f>Таблица224[[#This Row],[Столбец20]]/$D$4*100</f>
        <v>1.3906059293672979</v>
      </c>
    </row>
    <row r="56" spans="1:35" ht="22.5" customHeight="1" x14ac:dyDescent="0.2">
      <c r="A56" s="107" t="s">
        <v>47</v>
      </c>
      <c r="B56" s="106">
        <f>SUM(B57,B61,B62)</f>
        <v>2520.0520000000001</v>
      </c>
      <c r="C56" s="106">
        <f>SUM(C57,C61,C62)</f>
        <v>2697.623</v>
      </c>
      <c r="D56" s="106">
        <f>SUM(D57,D61,D62)</f>
        <v>2933.2</v>
      </c>
      <c r="E56" s="106">
        <f>Таблица224[[#This Row],[Столбец20]]/Таблица224[[#This Row],[Столбец14]]*100-100</f>
        <v>8.7327621391128218</v>
      </c>
      <c r="F56" s="106">
        <f>Таблица224[[#This Row],[Столбец14]]-Таблица224[[#This Row],[Столбец5]]</f>
        <v>177.57099999999991</v>
      </c>
      <c r="G56" s="106">
        <f>Таблица224[[#This Row],[Столбец20]]-Таблица224[[#This Row],[Столбец14]]</f>
        <v>235.57699999999977</v>
      </c>
      <c r="H56" s="106">
        <f>Таблица224[[#This Row],[Столбец5]]/$B$4*100</f>
        <v>2.4239659882266942</v>
      </c>
      <c r="I56" s="106">
        <f>Таблица224[[#This Row],[Столбец14]]/$C$4*100</f>
        <v>2.3420119113765803</v>
      </c>
      <c r="J56" s="106">
        <f>Таблица224[[#This Row],[Столбец20]]/$D$4*100</f>
        <v>2.3096972321744951</v>
      </c>
    </row>
    <row r="57" spans="1:35" ht="22.5" customHeight="1" x14ac:dyDescent="0.2">
      <c r="A57" s="23" t="s">
        <v>27</v>
      </c>
      <c r="B57" s="16">
        <f>SUM(B58:B60)</f>
        <v>1838.5</v>
      </c>
      <c r="C57" s="16">
        <f>SUM(C58:C60)</f>
        <v>1949.8</v>
      </c>
      <c r="D57" s="16">
        <f>SUM(D58:D60)</f>
        <v>1987.8999999999999</v>
      </c>
      <c r="E57" s="16">
        <f>Таблица224[[#This Row],[Столбец20]]/Таблица224[[#This Row],[Столбец14]]*100-100</f>
        <v>1.9540465688788515</v>
      </c>
      <c r="F57" s="16">
        <f>Таблица224[[#This Row],[Столбец14]]-Таблица224[[#This Row],[Столбец5]]</f>
        <v>111.29999999999995</v>
      </c>
      <c r="G57" s="16">
        <f>Таблица224[[#This Row],[Столбец20]]-Таблица224[[#This Row],[Столбец14]]</f>
        <v>38.099999999999909</v>
      </c>
      <c r="H57" s="16">
        <f>Таблица224[[#This Row],[Столбец5]]/$B$4*100</f>
        <v>1.7684006002077641</v>
      </c>
      <c r="I57" s="16">
        <f>Таблица224[[#This Row],[Столбец14]]/$C$4*100</f>
        <v>1.6927698291429365</v>
      </c>
      <c r="J57" s="16">
        <f>Таблица224[[#This Row],[Столбец20]]/$D$4*100</f>
        <v>1.5653372180007084</v>
      </c>
    </row>
    <row r="58" spans="1:35" ht="22.5" customHeight="1" x14ac:dyDescent="0.2">
      <c r="A58" s="21" t="s">
        <v>33</v>
      </c>
      <c r="B58" s="16">
        <v>1283</v>
      </c>
      <c r="C58" s="16">
        <v>1283</v>
      </c>
      <c r="D58" s="16">
        <v>1283</v>
      </c>
      <c r="E58" s="16">
        <f>Таблица224[[#This Row],[Столбец20]]/Таблица224[[#This Row],[Столбец14]]*100-100</f>
        <v>0</v>
      </c>
      <c r="F58" s="16">
        <f>Таблица224[[#This Row],[Столбец14]]-Таблица224[[#This Row],[Столбец5]]</f>
        <v>0</v>
      </c>
      <c r="G58" s="16">
        <f>Таблица224[[#This Row],[Столбец20]]-Таблица224[[#This Row],[Столбец14]]</f>
        <v>0</v>
      </c>
      <c r="H58" s="16">
        <f>Таблица224[[#This Row],[Столбец5]]/$B$4*100</f>
        <v>1.2340810280481704</v>
      </c>
      <c r="I58" s="16">
        <f>Таблица224[[#This Row],[Столбец14]]/$C$4*100</f>
        <v>1.1138699819419364</v>
      </c>
      <c r="J58" s="16">
        <f>Таблица224[[#This Row],[Столбец20]]/$D$4*100</f>
        <v>1.0102759951179179</v>
      </c>
    </row>
    <row r="59" spans="1:35" ht="22.5" customHeight="1" x14ac:dyDescent="0.2">
      <c r="A59" s="21" t="s">
        <v>34</v>
      </c>
      <c r="B59" s="16">
        <v>44.1</v>
      </c>
      <c r="C59" s="16">
        <v>56.2</v>
      </c>
      <c r="D59" s="16">
        <v>59.6</v>
      </c>
      <c r="E59" s="16">
        <f>Таблица224[[#This Row],[Столбец20]]/Таблица224[[#This Row],[Столбец14]]*100-100</f>
        <v>6.0498220640569258</v>
      </c>
      <c r="F59" s="16">
        <f>Таблица224[[#This Row],[Столбец14]]-Таблица224[[#This Row],[Столбец5]]</f>
        <v>12.100000000000001</v>
      </c>
      <c r="G59" s="16">
        <f>Таблица224[[#This Row],[Столбец20]]-Таблица224[[#This Row],[Столбец14]]</f>
        <v>3.3999999999999986</v>
      </c>
      <c r="H59" s="16">
        <f>Таблица224[[#This Row],[Столбец5]]/$B$4*100</f>
        <v>4.2418529490977651E-2</v>
      </c>
      <c r="I59" s="16">
        <f>Таблица224[[#This Row],[Столбец14]]/$C$4*100</f>
        <v>4.8791498819280459E-2</v>
      </c>
      <c r="J59" s="16">
        <f>Таблица224[[#This Row],[Столбец20]]/$D$4*100</f>
        <v>4.6930981534706095E-2</v>
      </c>
    </row>
    <row r="60" spans="1:35" ht="22.5" customHeight="1" x14ac:dyDescent="0.2">
      <c r="A60" s="21" t="s">
        <v>35</v>
      </c>
      <c r="B60" s="20">
        <f>448.2+63.2</f>
        <v>511.4</v>
      </c>
      <c r="C60" s="20">
        <f>547.3+63.3</f>
        <v>610.59999999999991</v>
      </c>
      <c r="D60" s="20">
        <f>581.8+63.5</f>
        <v>645.29999999999995</v>
      </c>
      <c r="E60" s="20">
        <f>Таблица224[[#This Row],[Столбец20]]/Таблица224[[#This Row],[Столбец14]]*100-100</f>
        <v>5.6829348182116064</v>
      </c>
      <c r="F60" s="20">
        <f>Таблица224[[#This Row],[Столбец14]]-Таблица224[[#This Row],[Столбец5]]</f>
        <v>99.199999999999932</v>
      </c>
      <c r="G60" s="20">
        <f>Таблица224[[#This Row],[Столбец20]]-Таблица224[[#This Row],[Столбец14]]</f>
        <v>34.700000000000045</v>
      </c>
      <c r="H60" s="20">
        <f>Таблица224[[#This Row],[Столбец5]]/$B$4*100</f>
        <v>0.49190104266861601</v>
      </c>
      <c r="I60" s="16">
        <f>Таблица224[[#This Row],[Столбец14]]/$C$4*100</f>
        <v>0.53010834838171961</v>
      </c>
      <c r="J60" s="20">
        <f>Таблица224[[#This Row],[Столбец20]]/$D$4*100</f>
        <v>0.50813024134808449</v>
      </c>
    </row>
    <row r="61" spans="1:35" ht="22.5" customHeight="1" x14ac:dyDescent="0.2">
      <c r="A61" s="23" t="s">
        <v>28</v>
      </c>
      <c r="B61" s="16">
        <f>308.815+83.637</f>
        <v>392.452</v>
      </c>
      <c r="C61" s="16">
        <f>97.248+354.975</f>
        <v>452.22300000000001</v>
      </c>
      <c r="D61" s="16">
        <v>643.29999999999995</v>
      </c>
      <c r="E61" s="16">
        <v>0</v>
      </c>
      <c r="F61" s="16">
        <f>Таблица224[[#This Row],[Столбец14]]-Таблица224[[#This Row],[Столбец5]]</f>
        <v>59.771000000000015</v>
      </c>
      <c r="G61" s="16">
        <f>Таблица224[[#This Row],[Столбец20]]-Таблица224[[#This Row],[Столбец14]]</f>
        <v>191.07699999999994</v>
      </c>
      <c r="H61" s="16">
        <f>Таблица224[[#This Row],[Столбец5]]/$B$4*100</f>
        <v>0.37748836135585395</v>
      </c>
      <c r="I61" s="16">
        <f>Таблица224[[#This Row],[Столбец14]]/$C$4*100</f>
        <v>0.39260921655785525</v>
      </c>
      <c r="J61" s="16">
        <f>Таблица224[[#This Row],[Столбец20]]/$D$4*100</f>
        <v>0.50655537619591318</v>
      </c>
    </row>
    <row r="62" spans="1:35" ht="22.5" customHeight="1" x14ac:dyDescent="0.2">
      <c r="A62" s="23" t="s">
        <v>29</v>
      </c>
      <c r="B62" s="16">
        <v>289.10000000000002</v>
      </c>
      <c r="C62" s="16">
        <v>295.60000000000002</v>
      </c>
      <c r="D62" s="16">
        <v>302</v>
      </c>
      <c r="E62" s="16">
        <f>Таблица224[[#This Row],[Столбец20]]/Таблица224[[#This Row],[Столбец14]]*100-100</f>
        <v>2.1650879566982297</v>
      </c>
      <c r="F62" s="16">
        <f>Таблица224[[#This Row],[Столбец14]]-Таблица224[[#This Row],[Столбец5]]</f>
        <v>6.5</v>
      </c>
      <c r="G62" s="16">
        <f>Таблица224[[#This Row],[Столбец20]]-Таблица224[[#This Row],[Столбец14]]</f>
        <v>6.3999999999999773</v>
      </c>
      <c r="H62" s="16">
        <f>Таблица224[[#This Row],[Столбец5]]/$B$4*100</f>
        <v>0.27807702666307571</v>
      </c>
      <c r="I62" s="16">
        <f>Таблица224[[#This Row],[Столбец14]]/$C$4*100</f>
        <v>0.25663286567578836</v>
      </c>
      <c r="J62" s="16">
        <f>Таблица224[[#This Row],[Столбец20]]/$D$4*100</f>
        <v>0.23780463797787316</v>
      </c>
    </row>
    <row r="63" spans="1:35" ht="22.5" customHeight="1" x14ac:dyDescent="0.2">
      <c r="A63" s="107" t="s">
        <v>3</v>
      </c>
      <c r="B63" s="106">
        <f>SUM(B64,B68,B69)</f>
        <v>4392.3000000000011</v>
      </c>
      <c r="C63" s="106">
        <f>SUM(C64,C68,C69)</f>
        <v>4653.3999999999996</v>
      </c>
      <c r="D63" s="106">
        <f>SUM(D64,D68,D69)</f>
        <v>4710.2000000000007</v>
      </c>
      <c r="E63" s="106">
        <f>Таблица224[[#This Row],[Столбец20]]/Таблица224[[#This Row],[Столбец14]]*100-100</f>
        <v>1.2206128852022289</v>
      </c>
      <c r="F63" s="106">
        <f>Таблица224[[#This Row],[Столбец14]]-Таблица224[[#This Row],[Столбец5]]</f>
        <v>261.09999999999854</v>
      </c>
      <c r="G63" s="106">
        <f>Таблица224[[#This Row],[Столбец20]]-Таблица224[[#This Row],[Столбец14]]</f>
        <v>56.800000000001091</v>
      </c>
      <c r="H63" s="106">
        <f>Таблица224[[#This Row],[Столбец5]]/$B$4*100</f>
        <v>4.2248278250163533</v>
      </c>
      <c r="I63" s="106">
        <f>Таблица224[[#This Row],[Столбец14]]/$C$4*100</f>
        <v>4.0399708292818444</v>
      </c>
      <c r="J63" s="106">
        <f>Таблица224[[#This Row],[Столбец20]]/$D$4*100</f>
        <v>3.7089649198787358</v>
      </c>
    </row>
    <row r="64" spans="1:35" ht="22.5" customHeight="1" x14ac:dyDescent="0.2">
      <c r="A64" s="23" t="s">
        <v>27</v>
      </c>
      <c r="B64" s="16">
        <f>B65+B66+B67</f>
        <v>4205.5000000000009</v>
      </c>
      <c r="C64" s="16">
        <f>C65+C66+C67</f>
        <v>4456.2</v>
      </c>
      <c r="D64" s="16">
        <f>D65+D66+D67</f>
        <v>4503.7000000000007</v>
      </c>
      <c r="E64" s="16">
        <f>Таблица224[[#This Row],[Столбец20]]/Таблица224[[#This Row],[Столбец14]]*100-100</f>
        <v>1.0659306135272431</v>
      </c>
      <c r="F64" s="16">
        <f>Таблица224[[#This Row],[Столбец14]]-Таблица224[[#This Row],[Столбец5]]</f>
        <v>250.69999999999891</v>
      </c>
      <c r="G64" s="16">
        <f>Таблица224[[#This Row],[Столбец20]]-Таблица224[[#This Row],[Столбец14]]</f>
        <v>47.500000000000909</v>
      </c>
      <c r="H64" s="16">
        <f>Таблица224[[#This Row],[Столбец5]]/$B$4*100</f>
        <v>4.0451502443153409</v>
      </c>
      <c r="I64" s="16">
        <f>Таблица224[[#This Row],[Столбец14]]/$C$4*100</f>
        <v>3.8687664953465752</v>
      </c>
      <c r="J64" s="16">
        <f>Таблица224[[#This Row],[Столбец20]]/$D$4*100</f>
        <v>3.5463600929170447</v>
      </c>
    </row>
    <row r="65" spans="1:10" ht="22.5" customHeight="1" x14ac:dyDescent="0.2">
      <c r="A65" s="21" t="s">
        <v>33</v>
      </c>
      <c r="B65" s="16">
        <v>76</v>
      </c>
      <c r="C65" s="16">
        <v>76</v>
      </c>
      <c r="D65" s="16">
        <v>76</v>
      </c>
      <c r="E65" s="16">
        <f>Таблица224[[#This Row],[Столбец20]]/Таблица224[[#This Row],[Столбец14]]*100-100</f>
        <v>0</v>
      </c>
      <c r="F65" s="16">
        <f>Таблица224[[#This Row],[Столбец14]]-Таблица224[[#This Row],[Столбец5]]</f>
        <v>0</v>
      </c>
      <c r="G65" s="16">
        <f>Таблица224[[#This Row],[Столбец20]]-Таблица224[[#This Row],[Столбец14]]</f>
        <v>0</v>
      </c>
      <c r="H65" s="16">
        <f>Таблица224[[#This Row],[Столбец5]]/$B$4*100</f>
        <v>7.3102227694201841E-2</v>
      </c>
      <c r="I65" s="16">
        <f>Таблица224[[#This Row],[Столбец14]]/$C$4*100</f>
        <v>6.5981386303653286E-2</v>
      </c>
      <c r="J65" s="16">
        <f>Таблица224[[#This Row],[Столбец20]]/$D$4*100</f>
        <v>5.9844875782511124E-2</v>
      </c>
    </row>
    <row r="66" spans="1:10" ht="22.5" customHeight="1" x14ac:dyDescent="0.2">
      <c r="A66" s="21" t="s">
        <v>34</v>
      </c>
      <c r="B66" s="16">
        <v>24.1</v>
      </c>
      <c r="C66" s="16">
        <v>18.2</v>
      </c>
      <c r="D66" s="16">
        <v>19.5</v>
      </c>
      <c r="E66" s="16">
        <f>Таблица224[[#This Row],[Столбец20]]/Таблица224[[#This Row],[Столбец14]]*100-100</f>
        <v>7.1428571428571388</v>
      </c>
      <c r="F66" s="16">
        <f>Таблица224[[#This Row],[Столбец14]]-Таблица224[[#This Row],[Столбец5]]</f>
        <v>-5.9000000000000021</v>
      </c>
      <c r="G66" s="16">
        <f>Таблица224[[#This Row],[Столбец20]]-Таблица224[[#This Row],[Столбец14]]</f>
        <v>1.3000000000000007</v>
      </c>
      <c r="H66" s="16">
        <f>Таблица224[[#This Row],[Столбец5]]/$B$4*100</f>
        <v>2.3181101150398214E-2</v>
      </c>
      <c r="I66" s="16">
        <f>Таблица224[[#This Row],[Столбец14]]/$C$4*100</f>
        <v>1.5800805667453812E-2</v>
      </c>
      <c r="J66" s="16">
        <f>Таблица224[[#This Row],[Столбец20]]/$D$4*100</f>
        <v>1.5354935233670618E-2</v>
      </c>
    </row>
    <row r="67" spans="1:10" ht="22.5" customHeight="1" x14ac:dyDescent="0.2">
      <c r="A67" s="21" t="s">
        <v>35</v>
      </c>
      <c r="B67" s="20">
        <f>4099.1+6.3</f>
        <v>4105.4000000000005</v>
      </c>
      <c r="C67" s="20">
        <f>4355.5+6.5</f>
        <v>4362</v>
      </c>
      <c r="D67" s="20">
        <f>4401.6+6.6</f>
        <v>4408.2000000000007</v>
      </c>
      <c r="E67" s="20">
        <f>Таблица224[[#This Row],[Столбец20]]/Таблица224[[#This Row],[Столбец14]]*100-100</f>
        <v>1.0591471801925962</v>
      </c>
      <c r="F67" s="20">
        <f>Таблица224[[#This Row],[Столбец14]]-Таблица224[[#This Row],[Столбец5]]</f>
        <v>256.59999999999945</v>
      </c>
      <c r="G67" s="20">
        <f>Таблица224[[#This Row],[Столбец20]]-Таблица224[[#This Row],[Столбец14]]</f>
        <v>46.200000000000728</v>
      </c>
      <c r="H67" s="20">
        <f>Таблица224[[#This Row],[Столбец5]]/$B$4*100</f>
        <v>3.9488669154707403</v>
      </c>
      <c r="I67" s="16">
        <f>Таблица224[[#This Row],[Столбец14]]/$C$4*100</f>
        <v>3.7869843033754687</v>
      </c>
      <c r="J67" s="20">
        <f>Таблица224[[#This Row],[Столбец20]]/$D$4*100</f>
        <v>3.4711602819008625</v>
      </c>
    </row>
    <row r="68" spans="1:10" ht="22.5" hidden="1" customHeight="1" x14ac:dyDescent="0.2">
      <c r="A68" s="23" t="s">
        <v>28</v>
      </c>
      <c r="B68" s="16"/>
      <c r="C68" s="16"/>
      <c r="D68" s="16"/>
      <c r="E68" s="16">
        <v>0</v>
      </c>
      <c r="F68" s="16">
        <f>Таблица224[[#This Row],[Столбец14]]-Таблица224[[#This Row],[Столбец5]]</f>
        <v>0</v>
      </c>
      <c r="G68" s="16">
        <f>Таблица224[[#This Row],[Столбец20]]-Таблица224[[#This Row],[Столбец14]]</f>
        <v>0</v>
      </c>
      <c r="H68" s="16">
        <f>Таблица224[[#This Row],[Столбец5]]/$B$4*100</f>
        <v>0</v>
      </c>
      <c r="I68" s="16">
        <f>Таблица224[[#This Row],[Столбец14]]/$C$4*100</f>
        <v>0</v>
      </c>
      <c r="J68" s="16">
        <f>Таблица224[[#This Row],[Столбец20]]/$D$4*100</f>
        <v>0</v>
      </c>
    </row>
    <row r="69" spans="1:10" ht="22.5" customHeight="1" x14ac:dyDescent="0.2">
      <c r="A69" s="23" t="s">
        <v>29</v>
      </c>
      <c r="B69" s="16">
        <v>186.8</v>
      </c>
      <c r="C69" s="16">
        <v>197.2</v>
      </c>
      <c r="D69" s="16">
        <v>206.5</v>
      </c>
      <c r="E69" s="16">
        <f>Таблица224[[#This Row],[Столбец20]]/Таблица224[[#This Row],[Столбец14]]*100-100</f>
        <v>4.7160243407708151</v>
      </c>
      <c r="F69" s="16">
        <f>Таблица224[[#This Row],[Столбец14]]-Таблица224[[#This Row],[Столбец5]]</f>
        <v>10.399999999999977</v>
      </c>
      <c r="G69" s="16">
        <f>Таблица224[[#This Row],[Столбец20]]-Таблица224[[#This Row],[Столбец14]]</f>
        <v>9.3000000000000114</v>
      </c>
      <c r="H69" s="16">
        <f>Таблица224[[#This Row],[Столбец5]]/$B$4*100</f>
        <v>0.17967758070101189</v>
      </c>
      <c r="I69" s="16">
        <f>Таблица224[[#This Row],[Столбец14]]/$C$4*100</f>
        <v>0.17120433393526877</v>
      </c>
      <c r="J69" s="16">
        <f>Таблица224[[#This Row],[Столбец20]]/$D$4*100</f>
        <v>0.1626048269616914</v>
      </c>
    </row>
    <row r="70" spans="1:10" ht="22.5" customHeight="1" x14ac:dyDescent="0.2">
      <c r="A70" s="107" t="s">
        <v>10</v>
      </c>
      <c r="B70" s="106">
        <f>SUM(B71,B75,B76)</f>
        <v>1248.4269999999999</v>
      </c>
      <c r="C70" s="106">
        <f>SUM(C71,C75,C76)</f>
        <v>1378.5160000000001</v>
      </c>
      <c r="D70" s="106">
        <f>SUM(D71,D75,D76)</f>
        <v>1473.75</v>
      </c>
      <c r="E70" s="106">
        <f>Таблица224[[#This Row],[Столбец20]]/Таблица224[[#This Row],[Столбец14]]*100-100</f>
        <v>6.9084435726534821</v>
      </c>
      <c r="F70" s="106">
        <f>Таблица224[[#This Row],[Столбец14]]-Таблица224[[#This Row],[Столбец5]]</f>
        <v>130.08900000000017</v>
      </c>
      <c r="G70" s="106">
        <f>Таблица224[[#This Row],[Столбец20]]-Таблица224[[#This Row],[Столбец14]]</f>
        <v>95.233999999999924</v>
      </c>
      <c r="H70" s="106">
        <f>Таблица224[[#This Row],[Столбец5]]/$B$4*100</f>
        <v>1.2008262475472278</v>
      </c>
      <c r="I70" s="106">
        <f>Таблица224[[#This Row],[Столбец14]]/$C$4*100</f>
        <v>1.1967946937074596</v>
      </c>
      <c r="J70" s="106">
        <f>Таблица224[[#This Row],[Столбец20]]/$D$4*100</f>
        <v>1.1604787590062602</v>
      </c>
    </row>
    <row r="71" spans="1:10" ht="22.5" customHeight="1" x14ac:dyDescent="0.2">
      <c r="A71" s="23" t="s">
        <v>27</v>
      </c>
      <c r="B71" s="16">
        <f>B72+B73+B74</f>
        <v>913</v>
      </c>
      <c r="C71" s="16">
        <f>C72+C73+C74</f>
        <v>969.3</v>
      </c>
      <c r="D71" s="16">
        <f>D72+D73+D74</f>
        <v>995.09999999999991</v>
      </c>
      <c r="E71" s="16">
        <f>Таблица224[[#This Row],[Столбец20]]/Таблица224[[#This Row],[Столбец14]]*100-100</f>
        <v>2.6617146394304996</v>
      </c>
      <c r="F71" s="16">
        <f>Таблица224[[#This Row],[Столбец14]]-Таблица224[[#This Row],[Столбец5]]</f>
        <v>56.299999999999955</v>
      </c>
      <c r="G71" s="16">
        <f>Таблица224[[#This Row],[Столбец20]]-Таблица224[[#This Row],[Столбец14]]</f>
        <v>25.799999999999955</v>
      </c>
      <c r="H71" s="16">
        <f>Таблица224[[#This Row],[Столбец5]]/$B$4*100</f>
        <v>0.878188603747451</v>
      </c>
      <c r="I71" s="16">
        <f>Таблица224[[#This Row],[Столбец14]]/$C$4*100</f>
        <v>0.84152312821225173</v>
      </c>
      <c r="J71" s="16">
        <f>Таблица224[[#This Row],[Столбец20]]/$D$4*100</f>
        <v>0.78357415646285278</v>
      </c>
    </row>
    <row r="72" spans="1:10" ht="22.5" customHeight="1" x14ac:dyDescent="0.2">
      <c r="A72" s="21" t="s">
        <v>33</v>
      </c>
      <c r="B72" s="16">
        <v>199.2</v>
      </c>
      <c r="C72" s="16">
        <v>199.2</v>
      </c>
      <c r="D72" s="16">
        <v>199.2</v>
      </c>
      <c r="E72" s="16">
        <f>Таблица224[[#This Row],[Столбец20]]/Таблица224[[#This Row],[Столбец14]]*100-100</f>
        <v>0</v>
      </c>
      <c r="F72" s="16">
        <f>Таблица224[[#This Row],[Столбец14]]-Таблица224[[#This Row],[Столбец5]]</f>
        <v>0</v>
      </c>
      <c r="G72" s="16">
        <f>Таблица224[[#This Row],[Столбец20]]-Таблица224[[#This Row],[Столбец14]]</f>
        <v>0</v>
      </c>
      <c r="H72" s="16">
        <f>Таблица224[[#This Row],[Столбец5]]/$B$4*100</f>
        <v>0.19160478627217112</v>
      </c>
      <c r="I72" s="16">
        <f>Таблица224[[#This Row],[Столбец14]]/$C$4*100</f>
        <v>0.17294068620641753</v>
      </c>
      <c r="J72" s="16">
        <f>Таблица224[[#This Row],[Столбец20]]/$D$4*100</f>
        <v>0.15685656915626597</v>
      </c>
    </row>
    <row r="73" spans="1:10" ht="22.5" customHeight="1" x14ac:dyDescent="0.2">
      <c r="A73" s="21" t="s">
        <v>34</v>
      </c>
      <c r="B73" s="16">
        <v>257.60000000000002</v>
      </c>
      <c r="C73" s="16">
        <v>282.5</v>
      </c>
      <c r="D73" s="16">
        <v>299.39999999999998</v>
      </c>
      <c r="E73" s="16">
        <f>Таблица224[[#This Row],[Столбец20]]/Таблица224[[#This Row],[Столбец14]]*100-100</f>
        <v>5.9823008849557482</v>
      </c>
      <c r="F73" s="16">
        <f>Таблица224[[#This Row],[Столбец14]]-Таблица224[[#This Row],[Столбец5]]</f>
        <v>24.899999999999977</v>
      </c>
      <c r="G73" s="16">
        <f>Таблица224[[#This Row],[Столбец20]]-Таблица224[[#This Row],[Столбец14]]</f>
        <v>16.899999999999977</v>
      </c>
      <c r="H73" s="16">
        <f>Таблица224[[#This Row],[Столбец5]]/$B$4*100</f>
        <v>0.2477780770266631</v>
      </c>
      <c r="I73" s="16">
        <f>Таблица224[[#This Row],[Столбец14]]/$C$4*100</f>
        <v>0.24525975829976385</v>
      </c>
      <c r="J73" s="16">
        <f>Таблица224[[#This Row],[Столбец20]]/$D$4*100</f>
        <v>0.23575731328005037</v>
      </c>
    </row>
    <row r="74" spans="1:10" ht="22.5" customHeight="1" x14ac:dyDescent="0.2">
      <c r="A74" s="21" t="s">
        <v>35</v>
      </c>
      <c r="B74" s="20">
        <f>437.5+18.7</f>
        <v>456.2</v>
      </c>
      <c r="C74" s="20">
        <f>467.7+19.9</f>
        <v>487.59999999999997</v>
      </c>
      <c r="D74" s="20">
        <f>476.6+19.9</f>
        <v>496.5</v>
      </c>
      <c r="E74" s="20">
        <f>Таблица224[[#This Row],[Столбец20]]/Таблица224[[#This Row],[Столбец14]]*100-100</f>
        <v>1.8252666119770424</v>
      </c>
      <c r="F74" s="20">
        <f>Таблица224[[#This Row],[Столбец14]]-Таблица224[[#This Row],[Столбец5]]</f>
        <v>31.399999999999977</v>
      </c>
      <c r="G74" s="20">
        <f>Таблица224[[#This Row],[Столбец20]]-Таблица224[[#This Row],[Столбец14]]</f>
        <v>8.9000000000000341</v>
      </c>
      <c r="H74" s="20">
        <f>Таблица224[[#This Row],[Столбец5]]/$B$4*100</f>
        <v>0.43880574044861687</v>
      </c>
      <c r="I74" s="16">
        <f>Таблица224[[#This Row],[Столбец14]]/$C$4*100</f>
        <v>0.42332268370607024</v>
      </c>
      <c r="J74" s="20">
        <f>Таблица224[[#This Row],[Столбец20]]/$D$4*100</f>
        <v>0.39096027402653644</v>
      </c>
    </row>
    <row r="75" spans="1:10" ht="22.5" customHeight="1" x14ac:dyDescent="0.2">
      <c r="A75" s="23" t="s">
        <v>28</v>
      </c>
      <c r="B75" s="16">
        <f>295.327</f>
        <v>295.327</v>
      </c>
      <c r="C75" s="16">
        <f>368.216</f>
        <v>368.21600000000001</v>
      </c>
      <c r="D75" s="16">
        <v>436.65</v>
      </c>
      <c r="E75" s="16">
        <v>0</v>
      </c>
      <c r="F75" s="16">
        <f>Таблица224[[#This Row],[Столбец14]]-Таблица224[[#This Row],[Столбец5]]</f>
        <v>72.88900000000001</v>
      </c>
      <c r="G75" s="16">
        <f>Таблица224[[#This Row],[Столбец20]]-Таблица224[[#This Row],[Столбец14]]</f>
        <v>68.433999999999969</v>
      </c>
      <c r="H75" s="16">
        <f>Таблица224[[#This Row],[Столбец5]]/$B$4*100</f>
        <v>0.28406659997691508</v>
      </c>
      <c r="I75" s="16">
        <f>Таблица224[[#This Row],[Столбец14]]/$C$4*100</f>
        <v>0.31967634393665789</v>
      </c>
      <c r="J75" s="16">
        <f>Таблица224[[#This Row],[Столбец20]]/$D$4*100</f>
        <v>0.34383243434780897</v>
      </c>
    </row>
    <row r="76" spans="1:10" ht="22.5" customHeight="1" x14ac:dyDescent="0.2">
      <c r="A76" s="23" t="s">
        <v>29</v>
      </c>
      <c r="B76" s="16">
        <v>40.1</v>
      </c>
      <c r="C76" s="16">
        <v>41</v>
      </c>
      <c r="D76" s="16">
        <v>42</v>
      </c>
      <c r="E76" s="16">
        <f>Таблица224[[#This Row],[Столбец20]]/Таблица224[[#This Row],[Столбец14]]*100-100</f>
        <v>2.4390243902439011</v>
      </c>
      <c r="F76" s="16">
        <f>Таблица224[[#This Row],[Столбец14]]-Таблица224[[#This Row],[Столбец5]]</f>
        <v>0.89999999999999858</v>
      </c>
      <c r="G76" s="16">
        <f>Таблица224[[#This Row],[Столбец20]]-Таблица224[[#This Row],[Столбец14]]</f>
        <v>1</v>
      </c>
      <c r="H76" s="16">
        <f>Таблица224[[#This Row],[Столбец5]]/$B$4*100</f>
        <v>3.8571043822861764E-2</v>
      </c>
      <c r="I76" s="16">
        <f>Таблица224[[#This Row],[Столбец14]]/$C$4*100</f>
        <v>3.55952215585498E-2</v>
      </c>
      <c r="J76" s="16">
        <f>Таблица224[[#This Row],[Столбец20]]/$D$4*100</f>
        <v>3.3072168195598252E-2</v>
      </c>
    </row>
    <row r="77" spans="1:10" ht="22.5" customHeight="1" x14ac:dyDescent="0.2">
      <c r="A77" s="107" t="s">
        <v>13</v>
      </c>
      <c r="B77" s="106">
        <f>SUM(B78,B82,B83)</f>
        <v>9837.6449529999991</v>
      </c>
      <c r="C77" s="106">
        <f>SUM(C78,C82,C83)</f>
        <v>11208.609</v>
      </c>
      <c r="D77" s="106">
        <f>SUM(D78,D82,D83)</f>
        <v>11316.608</v>
      </c>
      <c r="E77" s="106">
        <f>Таблица224[[#This Row],[Столбец20]]/Таблица224[[#This Row],[Столбец14]]*100-100</f>
        <v>0.96353615332643017</v>
      </c>
      <c r="F77" s="106">
        <f>Таблица224[[#This Row],[Столбец14]]-Таблица224[[#This Row],[Столбец5]]</f>
        <v>1370.9640470000013</v>
      </c>
      <c r="G77" s="106">
        <f>Таблица224[[#This Row],[Столбец20]]-Таблица224[[#This Row],[Столбец14]]</f>
        <v>107.9989999999998</v>
      </c>
      <c r="H77" s="106">
        <f>Таблица224[[#This Row],[Столбец5]]/$B$4*100</f>
        <v>9.4625494911700194</v>
      </c>
      <c r="I77" s="106">
        <f>Таблица224[[#This Row],[Столбец14]]/$C$4*100</f>
        <v>9.7310468467842757</v>
      </c>
      <c r="J77" s="106">
        <f>Таблица224[[#This Row],[Столбец20]]/$D$4*100</f>
        <v>8.9110657899917314</v>
      </c>
    </row>
    <row r="78" spans="1:10" ht="22.5" customHeight="1" x14ac:dyDescent="0.2">
      <c r="A78" s="23" t="s">
        <v>27</v>
      </c>
      <c r="B78" s="25">
        <f t="shared" ref="B78:D79" si="4">B85+B92+B99+B106+B112+B119</f>
        <v>4368.7818029999999</v>
      </c>
      <c r="C78" s="25">
        <f t="shared" si="4"/>
        <v>4644.9390000000003</v>
      </c>
      <c r="D78" s="25">
        <f t="shared" si="4"/>
        <v>4935.1040000000003</v>
      </c>
      <c r="E78" s="16">
        <f>Таблица224[[#This Row],[Столбец20]]/Таблица224[[#This Row],[Столбец14]]*100-100</f>
        <v>6.2469065793974892</v>
      </c>
      <c r="F78" s="16">
        <f>Таблица224[[#This Row],[Столбец14]]-Таблица224[[#This Row],[Столбец5]]</f>
        <v>276.15719700000045</v>
      </c>
      <c r="G78" s="16">
        <f>Таблица224[[#This Row],[Столбец20]]-Таблица224[[#This Row],[Столбец14]]</f>
        <v>290.16499999999996</v>
      </c>
      <c r="H78" s="16">
        <f>Таблица224[[#This Row],[Столбец5]]/$B$4*100</f>
        <v>4.2022063435419952</v>
      </c>
      <c r="I78" s="16">
        <f>Таблица224[[#This Row],[Столбец14]]/$C$4*100</f>
        <v>4.0326251909987505</v>
      </c>
      <c r="J78" s="16">
        <f>Таблица224[[#This Row],[Столбец20]]/$D$4*100</f>
        <v>3.8860616559707082</v>
      </c>
    </row>
    <row r="79" spans="1:10" ht="22.5" customHeight="1" x14ac:dyDescent="0.2">
      <c r="A79" s="21" t="s">
        <v>33</v>
      </c>
      <c r="B79" s="16">
        <f t="shared" si="4"/>
        <v>192.68113500000001</v>
      </c>
      <c r="C79" s="16">
        <f t="shared" si="4"/>
        <v>197.53</v>
      </c>
      <c r="D79" s="16">
        <f t="shared" si="4"/>
        <v>197.53</v>
      </c>
      <c r="E79" s="16">
        <f>Таблица224[[#This Row],[Столбец20]]/Таблица224[[#This Row],[Столбец14]]*100-100</f>
        <v>0</v>
      </c>
      <c r="F79" s="16">
        <f>Таблица224[[#This Row],[Столбец14]]-Таблица224[[#This Row],[Столбец5]]</f>
        <v>4.8488649999999893</v>
      </c>
      <c r="G79" s="16">
        <f>Таблица224[[#This Row],[Столбец20]]-Таблица224[[#This Row],[Столбец14]]</f>
        <v>0</v>
      </c>
      <c r="H79" s="16">
        <f>Таблица224[[#This Row],[Столбец5]]/$B$4*100</f>
        <v>0.18533447635720057</v>
      </c>
      <c r="I79" s="16">
        <f>Таблица224[[#This Row],[Столбец14]]/$C$4*100</f>
        <v>0.17149083206000834</v>
      </c>
      <c r="J79" s="16">
        <f>Таблица224[[#This Row],[Столбец20]]/$D$4*100</f>
        <v>0.15554155675420292</v>
      </c>
    </row>
    <row r="80" spans="1:10" ht="22.5" customHeight="1" x14ac:dyDescent="0.2">
      <c r="A80" s="21" t="s">
        <v>34</v>
      </c>
      <c r="B80" s="16">
        <f>B87+B94+B101+B108+B114</f>
        <v>2768</v>
      </c>
      <c r="C80" s="16">
        <f>C87+C94+C101+C108+C114</f>
        <v>2977.5399999999995</v>
      </c>
      <c r="D80" s="16">
        <f>D87+D94+D101+D108+D114</f>
        <v>3156.1480000000001</v>
      </c>
      <c r="E80" s="16">
        <f>Таблица224[[#This Row],[Столбец20]]/Таблица224[[#This Row],[Столбец14]]*100-100</f>
        <v>5.9985088361533627</v>
      </c>
      <c r="F80" s="16">
        <f>Таблица224[[#This Row],[Столбец14]]-Таблица224[[#This Row],[Столбец5]]</f>
        <v>209.53999999999951</v>
      </c>
      <c r="G80" s="16">
        <f>Таблица224[[#This Row],[Столбец20]]-Таблица224[[#This Row],[Столбец14]]</f>
        <v>178.60800000000063</v>
      </c>
      <c r="H80" s="16">
        <f>Таблица224[[#This Row],[Столбец5]]/$B$4*100</f>
        <v>2.6624600823361932</v>
      </c>
      <c r="I80" s="16">
        <f>Таблица224[[#This Row],[Столбец14]]/$C$4*100</f>
        <v>2.5850291707181552</v>
      </c>
      <c r="J80" s="16">
        <f>Таблица224[[#This Row],[Столбец20]]/$D$4*100</f>
        <v>2.4852537501476437</v>
      </c>
    </row>
    <row r="81" spans="1:10" ht="22.5" customHeight="1" x14ac:dyDescent="0.2">
      <c r="A81" s="21" t="s">
        <v>35</v>
      </c>
      <c r="B81" s="26">
        <f>B88+B95+B102+B109+B115+B121</f>
        <v>1408.1006679999998</v>
      </c>
      <c r="C81" s="20">
        <f>C88+C95+C102+C109+C115+C121</f>
        <v>1469.8689999999999</v>
      </c>
      <c r="D81" s="20">
        <f>D88+D95+D102+D109+D115+D121</f>
        <v>1581.4259999999997</v>
      </c>
      <c r="E81" s="20">
        <f>Таблица224[[#This Row],[Столбец20]]/Таблица224[[#This Row],[Столбец14]]*100-100</f>
        <v>7.5895879156577735</v>
      </c>
      <c r="F81" s="16">
        <f>Таблица224[[#This Row],[Столбец14]]-Таблица224[[#This Row],[Столбец5]]</f>
        <v>61.7683320000001</v>
      </c>
      <c r="G81" s="20">
        <f>Таблица224[[#This Row],[Столбец20]]-Таблица224[[#This Row],[Столбец14]]</f>
        <v>111.55699999999979</v>
      </c>
      <c r="H81" s="20">
        <f>Таблица224[[#This Row],[Столбец5]]/$B$4*100</f>
        <v>1.3544117848486013</v>
      </c>
      <c r="I81" s="16">
        <f>Таблица224[[#This Row],[Столбец14]]/$C$4*100</f>
        <v>1.2761051882205861</v>
      </c>
      <c r="J81" s="20">
        <f>Таблица224[[#This Row],[Столбец20]]/$D$4*100</f>
        <v>1.2452663490688607</v>
      </c>
    </row>
    <row r="82" spans="1:10" ht="22.5" customHeight="1" x14ac:dyDescent="0.2">
      <c r="A82" s="23" t="s">
        <v>28</v>
      </c>
      <c r="B82" s="25">
        <f>B89+B96+B103+B116</f>
        <v>5294.2369999999992</v>
      </c>
      <c r="C82" s="16">
        <f>C89+C96+C103+C116</f>
        <v>6419.8559999999998</v>
      </c>
      <c r="D82" s="16">
        <f>D89+D96+D103+D116</f>
        <v>6229.9</v>
      </c>
      <c r="E82" s="16">
        <f>Таблица224[[#This Row],[Столбец20]]/Таблица224[[#This Row],[Столбец14]]*100-100</f>
        <v>-2.9588825668363938</v>
      </c>
      <c r="F82" s="16">
        <f>Таблица224[[#This Row],[Столбец14]]-Таблица224[[#This Row],[Столбец5]]</f>
        <v>1125.6190000000006</v>
      </c>
      <c r="G82" s="16">
        <f>Таблица224[[#This Row],[Столбец20]]-Таблица224[[#This Row],[Столбец14]]</f>
        <v>-189.95600000000013</v>
      </c>
      <c r="H82" s="16">
        <f>Таблица224[[#This Row],[Столбец5]]/$B$4*100</f>
        <v>5.0923752452772106</v>
      </c>
      <c r="I82" s="16">
        <f>Таблица224[[#This Row],[Столбец14]]/$C$4*100</f>
        <v>5.5735657730240309</v>
      </c>
      <c r="J82" s="16">
        <f>Таблица224[[#This Row],[Столбец20]]/$D$4*100</f>
        <v>4.905626205756132</v>
      </c>
    </row>
    <row r="83" spans="1:10" ht="22.5" customHeight="1" x14ac:dyDescent="0.2">
      <c r="A83" s="23" t="s">
        <v>29</v>
      </c>
      <c r="B83" s="16">
        <f>B90+B97+B104+B110+B117+B122</f>
        <v>174.62615000000002</v>
      </c>
      <c r="C83" s="16">
        <f>SUM(C90,C97,C104,C110,C117,C122)</f>
        <v>143.81399999999999</v>
      </c>
      <c r="D83" s="16">
        <f>SUM(D90,D97,D104,D110,D117,D122)</f>
        <v>151.60400000000001</v>
      </c>
      <c r="E83" s="16">
        <f>Таблица224[[#This Row],[Столбец20]]/Таблица224[[#This Row],[Столбец14]]*100-100</f>
        <v>5.4167188173613283</v>
      </c>
      <c r="F83" s="16">
        <f>Таблица224[[#This Row],[Столбец14]]-Таблица224[[#This Row],[Столбец5]]</f>
        <v>-30.812150000000031</v>
      </c>
      <c r="G83" s="16">
        <f>Таблица224[[#This Row],[Столбец20]]-Таблица224[[#This Row],[Столбец14]]</f>
        <v>7.7900000000000205</v>
      </c>
      <c r="H83" s="16">
        <f>Таблица224[[#This Row],[Столбец5]]/$B$4*100</f>
        <v>0.16796790235081377</v>
      </c>
      <c r="I83" s="16">
        <f>Таблица224[[#This Row],[Столбец14]]/$C$4*100</f>
        <v>0.12485588276149465</v>
      </c>
      <c r="J83" s="16">
        <f>Таблица224[[#This Row],[Столбец20]]/$D$4*100</f>
        <v>0.11937792826489232</v>
      </c>
    </row>
    <row r="84" spans="1:10" ht="37.5" x14ac:dyDescent="0.2">
      <c r="A84" s="107" t="s">
        <v>11</v>
      </c>
      <c r="B84" s="106">
        <f>SUM(B85,B89,B90)</f>
        <v>1433.3340000000001</v>
      </c>
      <c r="C84" s="106">
        <f>SUM(C85,C89,C90)</f>
        <v>1482.5599999999997</v>
      </c>
      <c r="D84" s="106">
        <f>SUM(D85,D89,D90)</f>
        <v>1763.96</v>
      </c>
      <c r="E84" s="106">
        <f>Таблица224[[#This Row],[Столбец20]]/Таблица224[[#This Row],[Столбец14]]*100-100</f>
        <v>18.98068206345782</v>
      </c>
      <c r="F84" s="106">
        <f>Таблица224[[#This Row],[Столбец14]]-Таблица224[[#This Row],[Столбец5]]</f>
        <v>49.225999999999658</v>
      </c>
      <c r="G84" s="106">
        <f>Таблица224[[#This Row],[Столбец20]]-Таблица224[[#This Row],[Столбец14]]</f>
        <v>281.40000000000032</v>
      </c>
      <c r="H84" s="106">
        <f>Таблица224[[#This Row],[Столбец5]]/$B$4*100</f>
        <v>1.3786830056558039</v>
      </c>
      <c r="I84" s="106">
        <f>Таблица224[[#This Row],[Столбец14]]/$C$4*100</f>
        <v>1.2871232115571605</v>
      </c>
      <c r="J84" s="106">
        <f>Таблица224[[#This Row],[Столбец20]]/$D$4*100</f>
        <v>1.3889995669120832</v>
      </c>
    </row>
    <row r="85" spans="1:10" ht="22.5" customHeight="1" x14ac:dyDescent="0.2">
      <c r="A85" s="23" t="s">
        <v>27</v>
      </c>
      <c r="B85" s="16">
        <f>B86+B87+B88</f>
        <v>791.49700000000007</v>
      </c>
      <c r="C85" s="16">
        <f>C86+C87+C88</f>
        <v>880.89999999999986</v>
      </c>
      <c r="D85" s="16">
        <f>D86+D87+D88</f>
        <v>939.3</v>
      </c>
      <c r="E85" s="16">
        <f>Таблица224[[#This Row],[Столбец20]]/Таблица224[[#This Row],[Столбец14]]*100-100</f>
        <v>6.6295833806334628</v>
      </c>
      <c r="F85" s="16">
        <f>Таблица224[[#This Row],[Столбец14]]-Таблица224[[#This Row],[Столбец5]]</f>
        <v>89.402999999999793</v>
      </c>
      <c r="G85" s="16">
        <f>Таблица224[[#This Row],[Столбец20]]-Таблица224[[#This Row],[Столбец14]]</f>
        <v>58.400000000000091</v>
      </c>
      <c r="H85" s="16">
        <f>Таблица224[[#This Row],[Столбец5]]/$B$4*100</f>
        <v>0.76131834096417994</v>
      </c>
      <c r="I85" s="16">
        <f>Таблица224[[#This Row],[Столбец14]]/$C$4*100</f>
        <v>0.76477635782747588</v>
      </c>
      <c r="J85" s="16">
        <f>Таблица224[[#This Row],[Столбец20]]/$D$4*100</f>
        <v>0.73963541871727223</v>
      </c>
    </row>
    <row r="86" spans="1:10" ht="22.5" customHeight="1" x14ac:dyDescent="0.2">
      <c r="A86" s="21" t="s">
        <v>33</v>
      </c>
      <c r="B86" s="16">
        <v>30.414000000000001</v>
      </c>
      <c r="C86" s="16">
        <v>30.6</v>
      </c>
      <c r="D86" s="16">
        <v>30.6</v>
      </c>
      <c r="E86" s="16">
        <f>Таблица224[[#This Row],[Столбец20]]/Таблица224[[#This Row],[Столбец14]]*100-100</f>
        <v>0</v>
      </c>
      <c r="F86" s="16">
        <f>Таблица224[[#This Row],[Столбец14]]-Таблица224[[#This Row],[Столбец5]]</f>
        <v>0.18599999999999994</v>
      </c>
      <c r="G86" s="16">
        <f>Таблица224[[#This Row],[Столбец20]]-Таблица224[[#This Row],[Столбец14]]</f>
        <v>0</v>
      </c>
      <c r="H86" s="16">
        <f>Таблица224[[#This Row],[Столбец5]]/$B$4*100</f>
        <v>2.9254357277519141E-2</v>
      </c>
      <c r="I86" s="16">
        <f>Таблица224[[#This Row],[Столбец14]]/$C$4*100</f>
        <v>2.6566189748576191E-2</v>
      </c>
      <c r="J86" s="16">
        <f>Таблица224[[#This Row],[Столбец20]]/$D$4*100</f>
        <v>2.4095436828221586E-2</v>
      </c>
    </row>
    <row r="87" spans="1:10" s="18" customFormat="1" ht="22.5" customHeight="1" x14ac:dyDescent="0.2">
      <c r="A87" s="21" t="s">
        <v>34</v>
      </c>
      <c r="B87" s="16">
        <v>146.1</v>
      </c>
      <c r="C87" s="16">
        <v>161.1</v>
      </c>
      <c r="D87" s="16">
        <v>170.8</v>
      </c>
      <c r="E87" s="16">
        <f>Таблица224[[#This Row],[Столбец20]]/Таблица224[[#This Row],[Столбец14]]*100-100</f>
        <v>6.0211049037864939</v>
      </c>
      <c r="F87" s="27">
        <f>Таблица224[[#This Row],[Столбец14]]-Таблица224[[#This Row],[Столбец5]]</f>
        <v>15</v>
      </c>
      <c r="G87" s="27">
        <f>Таблица224[[#This Row],[Столбец20]]-Таблица224[[#This Row],[Столбец14]]</f>
        <v>9.7000000000000171</v>
      </c>
      <c r="H87" s="27">
        <f>Таблица224[[#This Row],[Столбец5]]/$B$4*100</f>
        <v>0.14052941402793276</v>
      </c>
      <c r="I87" s="16">
        <f>Таблица224[[#This Row],[Столбец14]]/$C$4*100</f>
        <v>0.13986317544103347</v>
      </c>
      <c r="J87" s="16">
        <f>Таблица224[[#This Row],[Столбец20]]/$D$4*100</f>
        <v>0.1344934839954329</v>
      </c>
    </row>
    <row r="88" spans="1:10" ht="22.5" customHeight="1" x14ac:dyDescent="0.2">
      <c r="A88" s="21" t="s">
        <v>35</v>
      </c>
      <c r="B88" s="20">
        <f>614.297+0.686</f>
        <v>614.98300000000006</v>
      </c>
      <c r="C88" s="20">
        <f>688.4+0.8</f>
        <v>689.19999999999993</v>
      </c>
      <c r="D88" s="20">
        <f>737.1+0.8</f>
        <v>737.9</v>
      </c>
      <c r="E88" s="20">
        <f>Таблица224[[#This Row],[Столбец20]]/Таблица224[[#This Row],[Столбец14]]*100-100</f>
        <v>7.0661636680209057</v>
      </c>
      <c r="F88" s="20">
        <f>Таблица224[[#This Row],[Столбец14]]-Таблица224[[#This Row],[Столбец5]]</f>
        <v>74.216999999999871</v>
      </c>
      <c r="G88" s="20">
        <f>Таблица224[[#This Row],[Столбец20]]-Таблица224[[#This Row],[Столбец14]]</f>
        <v>48.700000000000045</v>
      </c>
      <c r="H88" s="20">
        <f>Таблица224[[#This Row],[Столбец5]]/$B$4*100</f>
        <v>0.59153456965872808</v>
      </c>
      <c r="I88" s="16">
        <f>Таблица224[[#This Row],[Столбец14]]/$C$4*100</f>
        <v>0.59834699263786628</v>
      </c>
      <c r="J88" s="20">
        <f>Таблица224[[#This Row],[Столбец20]]/$D$4*100</f>
        <v>0.58104649789361784</v>
      </c>
    </row>
    <row r="89" spans="1:10" ht="22.5" customHeight="1" x14ac:dyDescent="0.2">
      <c r="A89" s="23" t="s">
        <v>28</v>
      </c>
      <c r="B89" s="16">
        <f>475.36+93.121</f>
        <v>568.48099999999999</v>
      </c>
      <c r="C89" s="16">
        <v>555.36</v>
      </c>
      <c r="D89" s="16">
        <v>775.76</v>
      </c>
      <c r="E89" s="16">
        <f>Таблица224[[#This Row],[Столбец20]]/Таблица224[[#This Row],[Столбец14]]*100-100</f>
        <v>39.685969461250352</v>
      </c>
      <c r="F89" s="16">
        <f>Таблица224[[#This Row],[Столбец14]]-Таблица224[[#This Row],[Столбец5]]</f>
        <v>-13.120999999999981</v>
      </c>
      <c r="G89" s="16">
        <f>Таблица224[[#This Row],[Столбец20]]-Таблица224[[#This Row],[Столбец14]]</f>
        <v>220.39999999999998</v>
      </c>
      <c r="H89" s="16">
        <f>Таблица224[[#This Row],[Столбец5]]/$B$4*100</f>
        <v>0.54680562502404684</v>
      </c>
      <c r="I89" s="16">
        <f>Таблица224[[#This Row],[Столбец14]]/$C$4*100</f>
        <v>0.48215029865259063</v>
      </c>
      <c r="J89" s="16">
        <f>Таблица224[[#This Row],[Столбец20]]/$D$4*100</f>
        <v>0.61085869522422143</v>
      </c>
    </row>
    <row r="90" spans="1:10" ht="22.5" customHeight="1" x14ac:dyDescent="0.2">
      <c r="A90" s="23" t="s">
        <v>29</v>
      </c>
      <c r="B90" s="16">
        <v>73.355999999999995</v>
      </c>
      <c r="C90" s="16">
        <v>46.3</v>
      </c>
      <c r="D90" s="16">
        <v>48.9</v>
      </c>
      <c r="E90" s="16">
        <f>Таблица224[[#This Row],[Столбец20]]/Таблица224[[#This Row],[Столбец14]]*100-100</f>
        <v>5.6155507559395375</v>
      </c>
      <c r="F90" s="16">
        <f>Таблица224[[#This Row],[Столбец14]]-Таблица224[[#This Row],[Столбец5]]</f>
        <v>-27.055999999999997</v>
      </c>
      <c r="G90" s="16">
        <f>Таблица224[[#This Row],[Столбец20]]-Таблица224[[#This Row],[Столбец14]]</f>
        <v>2.6000000000000014</v>
      </c>
      <c r="H90" s="16">
        <f>Таблица224[[#This Row],[Столбец5]]/$B$4*100</f>
        <v>7.0559039667577234E-2</v>
      </c>
      <c r="I90" s="16">
        <f>Таблица224[[#This Row],[Столбец14]]/$C$4*100</f>
        <v>4.0196555077094034E-2</v>
      </c>
      <c r="J90" s="16">
        <f>Таблица224[[#This Row],[Столбец20]]/$D$4*100</f>
        <v>3.8505452970589389E-2</v>
      </c>
    </row>
    <row r="91" spans="1:10" ht="22.5" customHeight="1" x14ac:dyDescent="0.2">
      <c r="A91" s="107" t="s">
        <v>4</v>
      </c>
      <c r="B91" s="106">
        <f>SUM(B92,B96,B97)</f>
        <v>4533.6326680000002</v>
      </c>
      <c r="C91" s="106">
        <f>SUM(C92,C96,C97)</f>
        <v>6250.5460000000003</v>
      </c>
      <c r="D91" s="106">
        <f>SUM(D92,D96,D97)</f>
        <v>3653.9000000000005</v>
      </c>
      <c r="E91" s="106">
        <f>Таблица224[[#This Row],[Столбец20]]/Таблица224[[#This Row],[Столбец14]]*100-100</f>
        <v>-41.542706829131404</v>
      </c>
      <c r="F91" s="106">
        <f>Таблица224[[#This Row],[Столбец14]]-Таблица224[[#This Row],[Столбец5]]</f>
        <v>1716.9133320000001</v>
      </c>
      <c r="G91" s="106">
        <f>Таблица224[[#This Row],[Столбец20]]-Таблица224[[#This Row],[Столбец14]]</f>
        <v>-2596.6459999999997</v>
      </c>
      <c r="H91" s="106">
        <f>Таблица224[[#This Row],[Столбец5]]/$B$4*100</f>
        <v>4.3607716786579971</v>
      </c>
      <c r="I91" s="106">
        <f>Таблица224[[#This Row],[Столбец14]]/$C$4*100</f>
        <v>5.4265748715099322</v>
      </c>
      <c r="J91" s="106">
        <f>Таблица224[[#This Row],[Столбец20]]/$D$4*100</f>
        <v>2.87719988975944</v>
      </c>
    </row>
    <row r="92" spans="1:10" ht="22.5" customHeight="1" x14ac:dyDescent="0.2">
      <c r="A92" s="23" t="s">
        <v>27</v>
      </c>
      <c r="B92" s="16">
        <f>B93+B94+B95</f>
        <v>2194.341668</v>
      </c>
      <c r="C92" s="16">
        <f>C93+C94+C95</f>
        <v>2343.3000000000002</v>
      </c>
      <c r="D92" s="16">
        <f>D93+D94+D95</f>
        <v>2482.5000000000005</v>
      </c>
      <c r="E92" s="16">
        <f>Таблица224[[#This Row],[Столбец20]]/Таблица224[[#This Row],[Столбец14]]*100-100</f>
        <v>5.9403405453847284</v>
      </c>
      <c r="F92" s="16">
        <f>Таблица224[[#This Row],[Столбец14]]-Таблица224[[#This Row],[Столбец5]]</f>
        <v>148.95833200000015</v>
      </c>
      <c r="G92" s="16">
        <f>Таблица224[[#This Row],[Столбец20]]-Таблица224[[#This Row],[Столбец14]]</f>
        <v>139.20000000000027</v>
      </c>
      <c r="H92" s="16">
        <f>Таблица224[[#This Row],[Столбец5]]/$B$4*100</f>
        <v>2.1106745296448772</v>
      </c>
      <c r="I92" s="16">
        <f>Таблица224[[#This Row],[Столбец14]]/$C$4*100</f>
        <v>2.0343971384914572</v>
      </c>
      <c r="J92" s="16">
        <f>Таблица224[[#This Row],[Столбец20]]/$D$4*100</f>
        <v>1.9548013701326825</v>
      </c>
    </row>
    <row r="93" spans="1:10" ht="22.5" customHeight="1" x14ac:dyDescent="0.2">
      <c r="A93" s="21" t="s">
        <v>33</v>
      </c>
      <c r="B93" s="16">
        <v>11.4</v>
      </c>
      <c r="C93" s="16">
        <v>5.8</v>
      </c>
      <c r="D93" s="16">
        <v>5.8</v>
      </c>
      <c r="E93" s="16">
        <f>Таблица224[[#This Row],[Столбец20]]/Таблица224[[#This Row],[Столбец14]]*100-100</f>
        <v>0</v>
      </c>
      <c r="F93" s="16">
        <f>Таблица224[[#This Row],[Столбец14]]-Таблица224[[#This Row],[Столбец5]]</f>
        <v>-5.6000000000000005</v>
      </c>
      <c r="G93" s="16">
        <f>Таблица224[[#This Row],[Столбец20]]-Таблица224[[#This Row],[Столбец14]]</f>
        <v>0</v>
      </c>
      <c r="H93" s="16">
        <f>Таблица224[[#This Row],[Столбец5]]/$B$4*100</f>
        <v>1.0965334154130275E-2</v>
      </c>
      <c r="I93" s="16">
        <f>Таблица224[[#This Row],[Столбец14]]/$C$4*100</f>
        <v>5.0354215863314348E-3</v>
      </c>
      <c r="J93" s="16">
        <f>Таблица224[[#This Row],[Столбец20]]/$D$4*100</f>
        <v>4.5671089412969018E-3</v>
      </c>
    </row>
    <row r="94" spans="1:10" ht="22.5" customHeight="1" x14ac:dyDescent="0.2">
      <c r="A94" s="21" t="s">
        <v>34</v>
      </c>
      <c r="B94" s="16">
        <v>2177.9</v>
      </c>
      <c r="C94" s="16">
        <v>2332</v>
      </c>
      <c r="D94" s="16">
        <v>2471.9</v>
      </c>
      <c r="E94" s="16">
        <f>Таблица224[[#This Row],[Столбец20]]/Таблица224[[#This Row],[Столбец14]]*100-100</f>
        <v>5.9991423670668951</v>
      </c>
      <c r="F94" s="16">
        <f>Таблица224[[#This Row],[Столбец14]]-Таблица224[[#This Row],[Столбец5]]</f>
        <v>154.09999999999991</v>
      </c>
      <c r="G94" s="16">
        <f>Таблица224[[#This Row],[Столбец20]]-Таблица224[[#This Row],[Столбец14]]</f>
        <v>139.90000000000009</v>
      </c>
      <c r="H94" s="16">
        <f>Таблица224[[#This Row],[Столбец5]]/$B$4*100</f>
        <v>2.0948597591473974</v>
      </c>
      <c r="I94" s="16">
        <f>Таблица224[[#This Row],[Столбец14]]/$C$4*100</f>
        <v>2.0245867481594666</v>
      </c>
      <c r="J94" s="16">
        <f>Таблица224[[#This Row],[Столбец20]]/$D$4*100</f>
        <v>1.9464545848261743</v>
      </c>
    </row>
    <row r="95" spans="1:10" ht="22.5" customHeight="1" x14ac:dyDescent="0.2">
      <c r="A95" s="21" t="s">
        <v>35</v>
      </c>
      <c r="B95" s="20">
        <f>4.9+0.141668</f>
        <v>5.0416680000000005</v>
      </c>
      <c r="C95" s="20">
        <f>4.3+1.2</f>
        <v>5.5</v>
      </c>
      <c r="D95" s="20">
        <f>4.6+0.2</f>
        <v>4.8</v>
      </c>
      <c r="E95" s="20">
        <f>Таблица224[[#This Row],[Столбец20]]/Таблица224[[#This Row],[Столбец14]]*100-100</f>
        <v>-12.727272727272734</v>
      </c>
      <c r="F95" s="20">
        <f>Таблица224[[#This Row],[Столбец14]]-Таблица224[[#This Row],[Столбец5]]</f>
        <v>0.45833199999999952</v>
      </c>
      <c r="G95" s="20">
        <f>Таблица224[[#This Row],[Столбец20]]-Таблица224[[#This Row],[Столбец14]]</f>
        <v>-0.70000000000000018</v>
      </c>
      <c r="H95" s="20">
        <f>Таблица224[[#This Row],[Столбец5]]/$B$4*100</f>
        <v>4.8494363433496217E-3</v>
      </c>
      <c r="I95" s="16">
        <f>Таблица224[[#This Row],[Столбец14]]/$C$4*100</f>
        <v>4.7749687456591187E-3</v>
      </c>
      <c r="J95" s="20">
        <f>Таблица224[[#This Row],[Столбец20]]/$D$4*100</f>
        <v>3.7796763652112285E-3</v>
      </c>
    </row>
    <row r="96" spans="1:10" ht="22.5" customHeight="1" x14ac:dyDescent="0.2">
      <c r="A96" s="23" t="s">
        <v>28</v>
      </c>
      <c r="B96" s="16">
        <f>1044.588+1289.541</f>
        <v>2334.1289999999999</v>
      </c>
      <c r="C96" s="16">
        <f>1631.669+2275.577</f>
        <v>3907.2460000000001</v>
      </c>
      <c r="D96" s="16">
        <v>1171.4000000000001</v>
      </c>
      <c r="E96" s="16">
        <f>Таблица224[[#This Row],[Столбец20]]/Таблица224[[#This Row],[Столбец14]]*100-100</f>
        <v>-70.019804230396545</v>
      </c>
      <c r="F96" s="16">
        <f>Таблица224[[#This Row],[Столбец14]]-Таблица224[[#This Row],[Столбец5]]</f>
        <v>1573.1170000000002</v>
      </c>
      <c r="G96" s="16">
        <f>Таблица224[[#This Row],[Столбец20]]-Таблица224[[#This Row],[Столбец14]]</f>
        <v>-2735.846</v>
      </c>
      <c r="H96" s="16">
        <f>Таблица224[[#This Row],[Столбец5]]/$B$4*100</f>
        <v>2.2451319687584164</v>
      </c>
      <c r="I96" s="16">
        <f>Таблица224[[#This Row],[Столбец14]]/$C$4*100</f>
        <v>3.3921777330184746</v>
      </c>
      <c r="J96" s="16">
        <f>Таблица224[[#This Row],[Столбец20]]/$D$4*100</f>
        <v>0.92239851962675701</v>
      </c>
    </row>
    <row r="97" spans="1:49" ht="22.5" hidden="1" customHeight="1" x14ac:dyDescent="0.2">
      <c r="A97" s="23" t="s">
        <v>29</v>
      </c>
      <c r="B97" s="16">
        <v>5.1619999999999999</v>
      </c>
      <c r="C97" s="16"/>
      <c r="D97" s="16"/>
      <c r="E97" s="16" t="e">
        <f>Таблица224[[#This Row],[Столбец20]]/Таблица224[[#This Row],[Столбец14]]*100-100</f>
        <v>#DIV/0!</v>
      </c>
      <c r="F97" s="16">
        <f>Таблица224[[#This Row],[Столбец14]]-Таблица224[[#This Row],[Столбец5]]</f>
        <v>-5.1619999999999999</v>
      </c>
      <c r="G97" s="16">
        <f>Таблица224[[#This Row],[Столбец20]]-Таблица224[[#This Row],[Столбец14]]</f>
        <v>0</v>
      </c>
      <c r="H97" s="16">
        <f>Таблица224[[#This Row],[Столбец5]]/$B$4*100</f>
        <v>4.9651802547035512E-3</v>
      </c>
      <c r="I97" s="16">
        <f>Таблица224[[#This Row],[Столбец14]]/$C$4*100</f>
        <v>0</v>
      </c>
      <c r="J97" s="16">
        <f>Таблица224[[#This Row],[Столбец20]]/$D$4*100</f>
        <v>0</v>
      </c>
    </row>
    <row r="98" spans="1:49" ht="22.5" customHeight="1" x14ac:dyDescent="0.2">
      <c r="A98" s="107" t="s">
        <v>5</v>
      </c>
      <c r="B98" s="106">
        <f>SUM(B99,B103,B104)</f>
        <v>1034.19</v>
      </c>
      <c r="C98" s="106">
        <f>C99+C104+C103</f>
        <v>821.10900000000004</v>
      </c>
      <c r="D98" s="106">
        <f>D99+D104+D103</f>
        <v>1408.4499999999998</v>
      </c>
      <c r="E98" s="106">
        <f>Таблица224[[#This Row],[Столбец20]]/Таблица224[[#This Row],[Столбец14]]*100-100</f>
        <v>71.53021097077243</v>
      </c>
      <c r="F98" s="106">
        <f>Таблица224[[#This Row],[Столбец14]]-Таблица224[[#This Row],[Столбец5]]</f>
        <v>-213.08100000000002</v>
      </c>
      <c r="G98" s="106">
        <f>Таблица224[[#This Row],[Столбец20]]-Таблица224[[#This Row],[Столбец14]]</f>
        <v>587.34099999999978</v>
      </c>
      <c r="H98" s="106">
        <f>Таблица224[[#This Row],[Столбец5]]/$B$4*100</f>
        <v>0.99475780077719222</v>
      </c>
      <c r="I98" s="106">
        <f>Таблица224[[#This Row],[Столбец14]]/$C$4*100</f>
        <v>0.71286723850534806</v>
      </c>
      <c r="J98" s="106">
        <f>Таблица224[[#This Row],[Столбец20]]/$D$4*100</f>
        <v>1.1090594117878656</v>
      </c>
    </row>
    <row r="99" spans="1:49" ht="22.5" customHeight="1" x14ac:dyDescent="0.2">
      <c r="A99" s="23" t="s">
        <v>27</v>
      </c>
      <c r="B99" s="16">
        <f>B100+B101+B102</f>
        <v>260.60000000000002</v>
      </c>
      <c r="C99" s="16">
        <f>C100+C101+C102</f>
        <v>280.05799999999999</v>
      </c>
      <c r="D99" s="16">
        <f>D100+D101+D102</f>
        <v>296.72299999999996</v>
      </c>
      <c r="E99" s="16">
        <f>Таблица224[[#This Row],[Столбец20]]/Таблица224[[#This Row],[Столбец14]]*100-100</f>
        <v>5.9505530997150373</v>
      </c>
      <c r="F99" s="16">
        <f>Таблица224[[#This Row],[Столбец14]]-Таблица224[[#This Row],[Столбец5]]</f>
        <v>19.45799999999997</v>
      </c>
      <c r="G99" s="16">
        <f>Таблица224[[#This Row],[Столбец20]]-Таблица224[[#This Row],[Столбец14]]</f>
        <v>16.664999999999964</v>
      </c>
      <c r="H99" s="16">
        <f>Таблица224[[#This Row],[Столбец5]]/$B$4*100</f>
        <v>0.25066369127775001</v>
      </c>
      <c r="I99" s="16">
        <f>Таблица224[[#This Row],[Столбец14]]/$C$4*100</f>
        <v>0.24313967217669119</v>
      </c>
      <c r="J99" s="16">
        <f>Таблица224[[#This Row],[Столбец20]]/$D$4*100</f>
        <v>0.23364935627386901</v>
      </c>
    </row>
    <row r="100" spans="1:49" ht="22.5" customHeight="1" x14ac:dyDescent="0.2">
      <c r="A100" s="21" t="s">
        <v>33</v>
      </c>
      <c r="B100" s="16">
        <v>70.8</v>
      </c>
      <c r="C100" s="16">
        <v>70.83</v>
      </c>
      <c r="D100" s="16">
        <v>70.83</v>
      </c>
      <c r="E100" s="16">
        <f>Таблица224[[#This Row],[Столбец20]]/Таблица224[[#This Row],[Столбец14]]*100-100</f>
        <v>0</v>
      </c>
      <c r="F100" s="16">
        <f>Таблица224[[#This Row],[Столбец14]]-Таблица224[[#This Row],[Столбец5]]</f>
        <v>3.0000000000001137E-2</v>
      </c>
      <c r="G100" s="16">
        <f>Таблица224[[#This Row],[Столбец20]]-Таблица224[[#This Row],[Столбец14]]</f>
        <v>0</v>
      </c>
      <c r="H100" s="16">
        <f>Таблица224[[#This Row],[Столбец5]]/$B$4*100</f>
        <v>6.8100496325651183E-2</v>
      </c>
      <c r="I100" s="16">
        <f>Таблица224[[#This Row],[Столбец14]]/$C$4*100</f>
        <v>6.1492915682733712E-2</v>
      </c>
      <c r="J100" s="16">
        <f>Таблица224[[#This Row],[Столбец20]]/$D$4*100</f>
        <v>5.5773849364148198E-2</v>
      </c>
    </row>
    <row r="101" spans="1:49" s="13" customFormat="1" ht="22.5" customHeight="1" x14ac:dyDescent="0.2">
      <c r="A101" s="21" t="s">
        <v>34</v>
      </c>
      <c r="B101" s="16">
        <v>19.899999999999999</v>
      </c>
      <c r="C101" s="16">
        <v>20.14</v>
      </c>
      <c r="D101" s="16">
        <v>21.347999999999999</v>
      </c>
      <c r="E101" s="16">
        <f>Таблица224[[#This Row],[Столбец20]]/Таблица224[[#This Row],[Столбец14]]*100-100</f>
        <v>5.9980139026812225</v>
      </c>
      <c r="F101" s="16">
        <f>Таблица224[[#This Row],[Столбец14]]-Таблица224[[#This Row],[Столбец5]]</f>
        <v>0.24000000000000199</v>
      </c>
      <c r="G101" s="16">
        <f>Таблица224[[#This Row],[Столбец20]]-Таблица224[[#This Row],[Столбец14]]</f>
        <v>1.2079999999999984</v>
      </c>
      <c r="H101" s="16">
        <f>Таблица224[[#This Row],[Столбец5]]/$B$4*100</f>
        <v>1.9141241198876533E-2</v>
      </c>
      <c r="I101" s="16">
        <f>Таблица224[[#This Row],[Столбец14]]/$C$4*100</f>
        <v>1.7485067370468121E-2</v>
      </c>
      <c r="J101" s="16">
        <f>Таблица224[[#This Row],[Столбец20]]/$D$4*100</f>
        <v>1.681011063427694E-2</v>
      </c>
    </row>
    <row r="102" spans="1:49" ht="22.5" customHeight="1" x14ac:dyDescent="0.2">
      <c r="A102" s="21" t="s">
        <v>35</v>
      </c>
      <c r="B102" s="20">
        <v>169.9</v>
      </c>
      <c r="C102" s="20">
        <v>189.08799999999999</v>
      </c>
      <c r="D102" s="20">
        <v>204.54499999999999</v>
      </c>
      <c r="E102" s="20">
        <f>Таблица224[[#This Row],[Столбец20]]/Таблица224[[#This Row],[Столбец14]]*100-100</f>
        <v>8.1745007615501777</v>
      </c>
      <c r="F102" s="20">
        <f>Таблица224[[#This Row],[Столбец14]]-Таблица224[[#This Row],[Столбец5]]</f>
        <v>19.187999999999988</v>
      </c>
      <c r="G102" s="20">
        <f>Таблица224[[#This Row],[Столбец20]]-Таблица224[[#This Row],[Столбец14]]</f>
        <v>15.456999999999994</v>
      </c>
      <c r="H102" s="20">
        <f>Таблица224[[#This Row],[Столбец5]]/$B$4*100</f>
        <v>0.16342195375322227</v>
      </c>
      <c r="I102" s="16">
        <f>Таблица224[[#This Row],[Столбец14]]/$C$4*100</f>
        <v>0.16416168912348936</v>
      </c>
      <c r="J102" s="20">
        <f>Таблица224[[#This Row],[Столбец20]]/$D$4*100</f>
        <v>0.16106539627544389</v>
      </c>
    </row>
    <row r="103" spans="1:49" ht="22.5" customHeight="1" x14ac:dyDescent="0.2">
      <c r="A103" s="23" t="s">
        <v>28</v>
      </c>
      <c r="B103" s="16">
        <f>232.91+512.236</f>
        <v>745.14599999999996</v>
      </c>
      <c r="C103" s="16">
        <f>209.226+304.927</f>
        <v>514.15300000000002</v>
      </c>
      <c r="D103" s="16">
        <v>1082.04</v>
      </c>
      <c r="E103" s="16">
        <f>Таблица224[[#This Row],[Столбец20]]/Таблица224[[#This Row],[Столбец14]]*100-100</f>
        <v>110.45097470986263</v>
      </c>
      <c r="F103" s="16">
        <f>Таблица224[[#This Row],[Столбец14]]-Таблица224[[#This Row],[Столбец5]]</f>
        <v>-230.99299999999994</v>
      </c>
      <c r="G103" s="16">
        <f>Таблица224[[#This Row],[Столбец20]]-Таблица224[[#This Row],[Столбец14]]</f>
        <v>567.88699999999994</v>
      </c>
      <c r="H103" s="16">
        <f>Таблица224[[#This Row],[Столбец5]]/$B$4*100</f>
        <v>0.71673463891347</v>
      </c>
      <c r="I103" s="16">
        <f>Таблица224[[#This Row],[Столбец14]]/$C$4*100</f>
        <v>0.44637536463397698</v>
      </c>
      <c r="J103" s="16">
        <f>Таблица224[[#This Row],[Столбец20]]/$D$4*100</f>
        <v>0.85203354462774128</v>
      </c>
    </row>
    <row r="104" spans="1:49" ht="22.5" customHeight="1" x14ac:dyDescent="0.2">
      <c r="A104" s="23" t="s">
        <v>29</v>
      </c>
      <c r="B104" s="16">
        <v>28.443999999999999</v>
      </c>
      <c r="C104" s="16">
        <v>26.898</v>
      </c>
      <c r="D104" s="16">
        <v>29.687000000000001</v>
      </c>
      <c r="E104" s="16">
        <f>Таблица224[[#This Row],[Столбец20]]/Таблица224[[#This Row],[Столбец14]]*100-100</f>
        <v>10.368800654323749</v>
      </c>
      <c r="F104" s="16">
        <f>Таблица224[[#This Row],[Столбец14]]-Таблица224[[#This Row],[Столбец5]]</f>
        <v>-1.5459999999999994</v>
      </c>
      <c r="G104" s="16">
        <f>Таблица224[[#This Row],[Столбец20]]-Таблица224[[#This Row],[Столбец14]]</f>
        <v>2.7890000000000015</v>
      </c>
      <c r="H104" s="16">
        <f>Таблица224[[#This Row],[Столбец5]]/$B$4*100</f>
        <v>2.7359470585972066E-2</v>
      </c>
      <c r="I104" s="16">
        <f>Таблица224[[#This Row],[Столбец14]]/$C$4*100</f>
        <v>2.3352201694679817E-2</v>
      </c>
      <c r="J104" s="16">
        <f>Таблица224[[#This Row],[Столбец20]]/$D$4*100</f>
        <v>2.3376510886255367E-2</v>
      </c>
    </row>
    <row r="105" spans="1:49" ht="22.5" customHeight="1" x14ac:dyDescent="0.2">
      <c r="A105" s="107" t="s">
        <v>6</v>
      </c>
      <c r="B105" s="109">
        <f>SUM(B106,B110)</f>
        <v>212.65600000000001</v>
      </c>
      <c r="C105" s="109">
        <f>SUM(C106+C110)</f>
        <v>241.20000000000002</v>
      </c>
      <c r="D105" s="109">
        <f>SUM(D106+D110)</f>
        <v>254.6</v>
      </c>
      <c r="E105" s="106">
        <f>Таблица224[[#This Row],[Столбец20]]/Таблица224[[#This Row],[Столбец14]]*100-100</f>
        <v>5.5555555555555429</v>
      </c>
      <c r="F105" s="106">
        <f>Таблица224[[#This Row],[Столбец14]]-Таблица224[[#This Row],[Столбец5]]</f>
        <v>28.544000000000011</v>
      </c>
      <c r="G105" s="106">
        <f>Таблица224[[#This Row],[Столбец20]]-Таблица224[[#This Row],[Столбец14]]</f>
        <v>13.399999999999977</v>
      </c>
      <c r="H105" s="106">
        <f>Таблица224[[#This Row],[Столбец5]]/$B$4*100</f>
        <v>0.20454772805971297</v>
      </c>
      <c r="I105" s="106">
        <f>Таблица224[[#This Row],[Столбец14]]/$C$4*100</f>
        <v>0.20940408390054174</v>
      </c>
      <c r="J105" s="106">
        <f>Таблица224[[#This Row],[Столбец20]]/$D$4*100</f>
        <v>0.20048033387141226</v>
      </c>
    </row>
    <row r="106" spans="1:49" ht="22.5" customHeight="1" x14ac:dyDescent="0.2">
      <c r="A106" s="23" t="s">
        <v>27</v>
      </c>
      <c r="B106" s="16">
        <f>B107+B108+B109</f>
        <v>209.65600000000001</v>
      </c>
      <c r="C106" s="16">
        <f>C107+C108+C109</f>
        <v>238.10000000000002</v>
      </c>
      <c r="D106" s="16">
        <f>D107+D108+D109</f>
        <v>251.4</v>
      </c>
      <c r="E106" s="16">
        <f>Таблица224[[#This Row],[Столбец20]]/Таблица224[[#This Row],[Столбец14]]*100-100</f>
        <v>5.5858882822343361</v>
      </c>
      <c r="F106" s="16">
        <f>Таблица224[[#This Row],[Столбец14]]-Таблица224[[#This Row],[Столбец5]]</f>
        <v>28.444000000000017</v>
      </c>
      <c r="G106" s="16">
        <f>Таблица224[[#This Row],[Столбец20]]-Таблица224[[#This Row],[Столбец14]]</f>
        <v>13.299999999999983</v>
      </c>
      <c r="H106" s="16">
        <f>Таблица224[[#This Row],[Столбец5]]/$B$4*100</f>
        <v>0.20166211380862609</v>
      </c>
      <c r="I106" s="16">
        <f>Таблица224[[#This Row],[Столбец14]]/$C$4*100</f>
        <v>0.20671273788026118</v>
      </c>
      <c r="J106" s="16">
        <f>Таблица224[[#This Row],[Столбец20]]/$D$4*100</f>
        <v>0.1979605496279381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</row>
    <row r="107" spans="1:49" ht="22.5" customHeight="1" x14ac:dyDescent="0.2">
      <c r="A107" s="21" t="s">
        <v>33</v>
      </c>
      <c r="B107" s="16">
        <v>30.78</v>
      </c>
      <c r="C107" s="16">
        <v>36.9</v>
      </c>
      <c r="D107" s="16">
        <v>36.9</v>
      </c>
      <c r="E107" s="16">
        <f>Таблица224[[#This Row],[Столбец20]]/Таблица224[[#This Row],[Столбец14]]*100-100</f>
        <v>0</v>
      </c>
      <c r="F107" s="16">
        <f>Таблица224[[#This Row],[Столбец14]]-Таблица224[[#This Row],[Столбец5]]</f>
        <v>6.1199999999999974</v>
      </c>
      <c r="G107" s="16">
        <f>Таблица224[[#This Row],[Столбец20]]-Таблица224[[#This Row],[Столбец14]]</f>
        <v>0</v>
      </c>
      <c r="H107" s="16">
        <f>Таблица224[[#This Row],[Столбец5]]/$B$4*100</f>
        <v>2.960640221615175E-2</v>
      </c>
      <c r="I107" s="16">
        <f>Таблица224[[#This Row],[Столбец14]]/$C$4*100</f>
        <v>3.2035699402694816E-2</v>
      </c>
      <c r="J107" s="16">
        <f>Таблица224[[#This Row],[Столбец20]]/$D$4*100</f>
        <v>2.905626205756132E-2</v>
      </c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</row>
    <row r="108" spans="1:49" ht="22.5" customHeight="1" x14ac:dyDescent="0.2">
      <c r="A108" s="21" t="s">
        <v>34</v>
      </c>
      <c r="B108" s="16">
        <v>81.599999999999994</v>
      </c>
      <c r="C108" s="16">
        <v>80.599999999999994</v>
      </c>
      <c r="D108" s="16">
        <v>85.4</v>
      </c>
      <c r="E108" s="16">
        <f>Таблица224[[#This Row],[Столбец20]]/Таблица224[[#This Row],[Столбец14]]*100-100</f>
        <v>5.9553349875930621</v>
      </c>
      <c r="F108" s="16">
        <f>Таблица224[[#This Row],[Столбец14]]-Таблица224[[#This Row],[Столбец5]]</f>
        <v>-1</v>
      </c>
      <c r="G108" s="16">
        <f>Таблица224[[#This Row],[Столбец20]]-Таблица224[[#This Row],[Столбец14]]</f>
        <v>4.8000000000000114</v>
      </c>
      <c r="H108" s="16">
        <f>Таблица224[[#This Row],[Столбец5]]/$B$4*100</f>
        <v>7.8488707629564072E-2</v>
      </c>
      <c r="I108" s="16">
        <f>Таблица224[[#This Row],[Столбец14]]/$C$4*100</f>
        <v>6.9974996527295455E-2</v>
      </c>
      <c r="J108" s="16">
        <f>Таблица224[[#This Row],[Столбец20]]/$D$4*100</f>
        <v>6.724674199771645E-2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</row>
    <row r="109" spans="1:49" ht="22.5" customHeight="1" x14ac:dyDescent="0.2">
      <c r="A109" s="21" t="s">
        <v>35</v>
      </c>
      <c r="B109" s="20">
        <f>93.542+3.734</f>
        <v>97.275999999999996</v>
      </c>
      <c r="C109" s="20">
        <f>116.4+4.2</f>
        <v>120.60000000000001</v>
      </c>
      <c r="D109" s="20">
        <f>124.6+4.5</f>
        <v>129.1</v>
      </c>
      <c r="E109" s="20">
        <f>Таблица224[[#This Row],[Столбец20]]/Таблица224[[#This Row],[Столбец14]]*100-100</f>
        <v>7.0480928689883768</v>
      </c>
      <c r="F109" s="20">
        <f>Таблица224[[#This Row],[Столбец14]]-Таблица224[[#This Row],[Столбец5]]</f>
        <v>23.324000000000012</v>
      </c>
      <c r="G109" s="20">
        <f>Таблица224[[#This Row],[Столбец20]]-Таблица224[[#This Row],[Столбец14]]</f>
        <v>8.4999999999999858</v>
      </c>
      <c r="H109" s="20">
        <f>Таблица224[[#This Row],[Столбец5]]/$B$4*100</f>
        <v>9.3567003962910233E-2</v>
      </c>
      <c r="I109" s="16">
        <f>Таблица224[[#This Row],[Столбец14]]/$C$4*100</f>
        <v>0.10470204195027087</v>
      </c>
      <c r="J109" s="20">
        <f>Таблица224[[#This Row],[Столбец20]]/$D$4*100</f>
        <v>0.10165754557266034</v>
      </c>
    </row>
    <row r="110" spans="1:49" ht="22.5" customHeight="1" x14ac:dyDescent="0.2">
      <c r="A110" s="23" t="s">
        <v>29</v>
      </c>
      <c r="B110" s="16">
        <v>3</v>
      </c>
      <c r="C110" s="16">
        <v>3.1</v>
      </c>
      <c r="D110" s="16">
        <v>3.2</v>
      </c>
      <c r="E110" s="16">
        <f>Таблица224[[#This Row],[Столбец20]]/Таблица224[[#This Row],[Столбец14]]*100-100</f>
        <v>3.2258064516128968</v>
      </c>
      <c r="F110" s="16">
        <f>Таблица224[[#This Row],[Столбец14]]-Таблица224[[#This Row],[Столбец5]]</f>
        <v>0.10000000000000009</v>
      </c>
      <c r="G110" s="16">
        <f>Таблица224[[#This Row],[Столбец20]]-Таблица224[[#This Row],[Столбец14]]</f>
        <v>0.10000000000000009</v>
      </c>
      <c r="H110" s="16">
        <f>Таблица224[[#This Row],[Столбец5]]/$B$4*100</f>
        <v>2.8856142510869146E-3</v>
      </c>
      <c r="I110" s="16">
        <f>Таблица224[[#This Row],[Столбец14]]/$C$4*100</f>
        <v>2.6913460202805943E-3</v>
      </c>
      <c r="J110" s="16">
        <f>Таблица224[[#This Row],[Столбец20]]/$D$4*100</f>
        <v>2.5197842434741525E-3</v>
      </c>
    </row>
    <row r="111" spans="1:49" ht="22.5" customHeight="1" x14ac:dyDescent="0.2">
      <c r="A111" s="107" t="s">
        <v>14</v>
      </c>
      <c r="B111" s="106">
        <f>SUM(B112,B116,B117)</f>
        <v>2530.462</v>
      </c>
      <c r="C111" s="106">
        <f>SUM(C112,C116,C117)</f>
        <v>2353.797</v>
      </c>
      <c r="D111" s="106">
        <f>SUM(D112,D116,D117)</f>
        <v>4173.1000000000004</v>
      </c>
      <c r="E111" s="106">
        <f>Таблица224[[#This Row],[Столбец20]]/Таблица224[[#This Row],[Столбец14]]*100-100</f>
        <v>77.292264371141641</v>
      </c>
      <c r="F111" s="106">
        <f>Таблица224[[#This Row],[Столбец14]]-Таблица224[[#This Row],[Столбец5]]</f>
        <v>-176.66499999999996</v>
      </c>
      <c r="G111" s="106">
        <f>Таблица224[[#This Row],[Столбец20]]-Таблица224[[#This Row],[Столбец14]]</f>
        <v>1819.3030000000003</v>
      </c>
      <c r="H111" s="106">
        <f>Таблица224[[#This Row],[Столбец5]]/$B$4*100</f>
        <v>2.4339790696779655</v>
      </c>
      <c r="I111" s="106">
        <f>Таблица224[[#This Row],[Столбец14]]/$C$4*100</f>
        <v>2.0435103833865815</v>
      </c>
      <c r="J111" s="106">
        <f>Таблица224[[#This Row],[Столбец20]]/$D$4*100</f>
        <v>3.2860348832631212</v>
      </c>
    </row>
    <row r="112" spans="1:49" ht="22.5" customHeight="1" x14ac:dyDescent="0.2">
      <c r="A112" s="23" t="s">
        <v>27</v>
      </c>
      <c r="B112" s="16">
        <f>B113+B114+B115</f>
        <v>823.1</v>
      </c>
      <c r="C112" s="16">
        <f>C113+C114+C115</f>
        <v>847.2</v>
      </c>
      <c r="D112" s="16">
        <f>D113+D114+D115</f>
        <v>906.8</v>
      </c>
      <c r="E112" s="16">
        <f>Таблица224[[#This Row],[Столбец20]]/Таблица224[[#This Row],[Столбец14]]*100-100</f>
        <v>7.0349386213408849</v>
      </c>
      <c r="F112" s="16">
        <f>Таблица224[[#This Row],[Столбец14]]-Таблица224[[#This Row],[Столбец5]]</f>
        <v>24.100000000000023</v>
      </c>
      <c r="G112" s="16">
        <f>Таблица224[[#This Row],[Столбец20]]-Таблица224[[#This Row],[Столбец14]]</f>
        <v>59.599999999999909</v>
      </c>
      <c r="H112" s="16">
        <f>Таблица224[[#This Row],[Столбец5]]/$B$4*100</f>
        <v>0.79171636335654649</v>
      </c>
      <c r="I112" s="16">
        <f>Таблица224[[#This Row],[Столбец14]]/$C$4*100</f>
        <v>0.73551882205861929</v>
      </c>
      <c r="J112" s="16">
        <f>Таблица224[[#This Row],[Столбец20]]/$D$4*100</f>
        <v>0.71404385999448794</v>
      </c>
    </row>
    <row r="113" spans="1:10" ht="22.5" customHeight="1" x14ac:dyDescent="0.2">
      <c r="A113" s="21" t="s">
        <v>33</v>
      </c>
      <c r="B113" s="16">
        <v>37.799999999999997</v>
      </c>
      <c r="C113" s="16">
        <v>37.5</v>
      </c>
      <c r="D113" s="16">
        <v>37.5</v>
      </c>
      <c r="E113" s="16">
        <f>Таблица224[[#This Row],[Столбец20]]/Таблица224[[#This Row],[Столбец14]]*100-100</f>
        <v>0</v>
      </c>
      <c r="F113" s="16">
        <f>Таблица224[[#This Row],[Столбец14]]-Таблица224[[#This Row],[Столбец5]]</f>
        <v>-0.29999999999999716</v>
      </c>
      <c r="G113" s="16">
        <f>Таблица224[[#This Row],[Столбец20]]-Таблица224[[#This Row],[Столбец14]]</f>
        <v>0</v>
      </c>
      <c r="H113" s="16">
        <f>Таблица224[[#This Row],[Столбец5]]/$B$4*100</f>
        <v>3.6358739563695119E-2</v>
      </c>
      <c r="I113" s="16">
        <f>Таблица224[[#This Row],[Столбец14]]/$C$4*100</f>
        <v>3.2556605084039451E-2</v>
      </c>
      <c r="J113" s="16">
        <f>Таблица224[[#This Row],[Столбец20]]/$D$4*100</f>
        <v>2.9528721603212724E-2</v>
      </c>
    </row>
    <row r="114" spans="1:10" ht="22.5" customHeight="1" x14ac:dyDescent="0.2">
      <c r="A114" s="21" t="s">
        <v>34</v>
      </c>
      <c r="B114" s="16">
        <v>342.5</v>
      </c>
      <c r="C114" s="16">
        <v>383.7</v>
      </c>
      <c r="D114" s="16">
        <v>406.7</v>
      </c>
      <c r="E114" s="16">
        <f>Таблица224[[#This Row],[Столбец20]]/Таблица224[[#This Row],[Столбец14]]*100-100</f>
        <v>5.9942663539223275</v>
      </c>
      <c r="F114" s="16">
        <f>Таблица224[[#This Row],[Столбец14]]-Таблица224[[#This Row],[Столбец5]]</f>
        <v>41.199999999999989</v>
      </c>
      <c r="G114" s="16">
        <f>Таблица224[[#This Row],[Столбец20]]-Таблица224[[#This Row],[Столбец14]]</f>
        <v>23</v>
      </c>
      <c r="H114" s="16">
        <f>Таблица224[[#This Row],[Столбец5]]/$B$4*100</f>
        <v>0.32944096033242276</v>
      </c>
      <c r="I114" s="16">
        <f>Таблица224[[#This Row],[Столбец14]]/$C$4*100</f>
        <v>0.33311918321989165</v>
      </c>
      <c r="J114" s="16">
        <f>Таблица224[[#This Row],[Столбец20]]/$D$4*100</f>
        <v>0.32024882869404303</v>
      </c>
    </row>
    <row r="115" spans="1:10" ht="22.5" customHeight="1" x14ac:dyDescent="0.2">
      <c r="A115" s="21" t="s">
        <v>35</v>
      </c>
      <c r="B115" s="20">
        <f>440+2.8</f>
        <v>442.8</v>
      </c>
      <c r="C115" s="20">
        <f>423.4+2.6</f>
        <v>426</v>
      </c>
      <c r="D115" s="20">
        <f>460+2.6</f>
        <v>462.6</v>
      </c>
      <c r="E115" s="20">
        <f>Таблица224[[#This Row],[Столбец20]]/Таблица224[[#This Row],[Столбец14]]*100-100</f>
        <v>8.5915492957746551</v>
      </c>
      <c r="F115" s="20">
        <f>Таблица224[[#This Row],[Столбец14]]-Таблица224[[#This Row],[Столбец5]]</f>
        <v>-16.800000000000011</v>
      </c>
      <c r="G115" s="20">
        <f>Таблица224[[#This Row],[Столбец20]]-Таблица224[[#This Row],[Столбец14]]</f>
        <v>36.600000000000023</v>
      </c>
      <c r="H115" s="20">
        <f>Таблица224[[#This Row],[Столбец5]]/$B$4*100</f>
        <v>0.42591666346042856</v>
      </c>
      <c r="I115" s="16">
        <f>Таблица224[[#This Row],[Столбец14]]/$C$4*100</f>
        <v>0.36984303375468813</v>
      </c>
      <c r="J115" s="20">
        <f>Таблица224[[#This Row],[Столбец20]]/$D$4*100</f>
        <v>0.36426630969723223</v>
      </c>
    </row>
    <row r="116" spans="1:10" ht="22.5" customHeight="1" x14ac:dyDescent="0.2">
      <c r="A116" s="23" t="s">
        <v>28</v>
      </c>
      <c r="B116" s="16">
        <f>769.731+876.75</f>
        <v>1646.481</v>
      </c>
      <c r="C116" s="16">
        <f>923.491+519.606</f>
        <v>1443.097</v>
      </c>
      <c r="D116" s="16">
        <v>3200.7</v>
      </c>
      <c r="E116" s="16">
        <f>Таблица224[[#This Row],[Столбец20]]/Таблица224[[#This Row],[Столбец14]]*100-100</f>
        <v>121.79382259127416</v>
      </c>
      <c r="F116" s="16">
        <f>Таблица224[[#This Row],[Столбец14]]-Таблица224[[#This Row],[Столбец5]]</f>
        <v>-203.38400000000001</v>
      </c>
      <c r="G116" s="16">
        <f>Таблица224[[#This Row],[Столбец20]]-Таблица224[[#This Row],[Столбец14]]</f>
        <v>1757.6029999999998</v>
      </c>
      <c r="H116" s="16">
        <f>Таблица224[[#This Row],[Столбец5]]/$B$4*100</f>
        <v>1.5837030125812783</v>
      </c>
      <c r="I116" s="16">
        <f>Таблица224[[#This Row],[Столбец14]]/$C$4*100</f>
        <v>1.2528623767189888</v>
      </c>
      <c r="J116" s="16">
        <f>Таблица224[[#This Row],[Столбец20]]/$D$4*100</f>
        <v>2.5203354462774121</v>
      </c>
    </row>
    <row r="117" spans="1:10" ht="22.5" customHeight="1" x14ac:dyDescent="0.2">
      <c r="A117" s="23" t="s">
        <v>29</v>
      </c>
      <c r="B117" s="16">
        <v>60.881</v>
      </c>
      <c r="C117" s="16">
        <v>63.5</v>
      </c>
      <c r="D117" s="16">
        <v>65.599999999999994</v>
      </c>
      <c r="E117" s="16">
        <f>Таблица224[[#This Row],[Столбец20]]/Таблица224[[#This Row],[Столбец14]]*100-100</f>
        <v>3.3070866141732296</v>
      </c>
      <c r="F117" s="16">
        <f>Таблица224[[#This Row],[Столбец14]]-Таблица224[[#This Row],[Столбец5]]</f>
        <v>2.6189999999999998</v>
      </c>
      <c r="G117" s="16">
        <f>Таблица224[[#This Row],[Столбец20]]-Таблица224[[#This Row],[Столбец14]]</f>
        <v>2.0999999999999943</v>
      </c>
      <c r="H117" s="16">
        <f>Таблица224[[#This Row],[Столбец5]]/$B$4*100</f>
        <v>5.855969374014082E-2</v>
      </c>
      <c r="I117" s="16">
        <f>Таблица224[[#This Row],[Столбец14]]/$C$4*100</f>
        <v>5.5129184608973474E-2</v>
      </c>
      <c r="J117" s="16">
        <f>Таблица224[[#This Row],[Столбец20]]/$D$4*100</f>
        <v>5.1655576991220122E-2</v>
      </c>
    </row>
    <row r="118" spans="1:10" ht="37.5" x14ac:dyDescent="0.2">
      <c r="A118" s="107" t="s">
        <v>7</v>
      </c>
      <c r="B118" s="109">
        <f>SUM(B119,B122)</f>
        <v>93.37028500000001</v>
      </c>
      <c r="C118" s="106">
        <f>SUM(C119,C122)</f>
        <v>59.396999999999998</v>
      </c>
      <c r="D118" s="106">
        <f>SUM(D119,D122)</f>
        <v>62.597999999999999</v>
      </c>
      <c r="E118" s="106">
        <f>Таблица224[[#This Row],[Столбец20]]/Таблица224[[#This Row],[Столбец14]]*100-100</f>
        <v>5.3891610687408615</v>
      </c>
      <c r="F118" s="106">
        <f>Таблица224[[#This Row],[Столбец14]]-Таблица224[[#This Row],[Столбец5]]</f>
        <v>-33.973285000000011</v>
      </c>
      <c r="G118" s="106">
        <f>Таблица224[[#This Row],[Столбец20]]-Таблица224[[#This Row],[Столбец14]]</f>
        <v>3.2010000000000005</v>
      </c>
      <c r="H118" s="106">
        <f>Таблица224[[#This Row],[Столбец5]]/$B$4*100</f>
        <v>8.9810208341348938E-2</v>
      </c>
      <c r="I118" s="106">
        <f>Таблица224[[#This Row],[Столбец14]]/$C$4*100</f>
        <v>5.1567057924711772E-2</v>
      </c>
      <c r="J118" s="106">
        <f>Таблица224[[#This Row],[Столбец20]]/$D$4*100</f>
        <v>4.9291704397810943E-2</v>
      </c>
    </row>
    <row r="119" spans="1:10" ht="22.5" customHeight="1" x14ac:dyDescent="0.2">
      <c r="A119" s="23" t="s">
        <v>27</v>
      </c>
      <c r="B119" s="25">
        <f>B120+B121</f>
        <v>89.587135000000004</v>
      </c>
      <c r="C119" s="16">
        <f t="shared" ref="C119:I119" si="5">C120+C121</f>
        <v>55.381</v>
      </c>
      <c r="D119" s="16">
        <f t="shared" si="5"/>
        <v>58.381</v>
      </c>
      <c r="E119" s="16">
        <f>Таблица224[[#This Row],[Столбец20]]/Таблица224[[#This Row],[Столбец14]]*100-100</f>
        <v>5.4170202777125809</v>
      </c>
      <c r="F119" s="16">
        <f>Таблица224[[#This Row],[Столбец14]]-Таблица224[[#This Row],[Столбец5]]</f>
        <v>-34.206135000000003</v>
      </c>
      <c r="G119" s="16">
        <f>Таблица224[[#This Row],[Столбец20]]-Таблица224[[#This Row],[Столбец14]]</f>
        <v>3</v>
      </c>
      <c r="H119" s="25">
        <f t="shared" si="5"/>
        <v>8.6171304490015782E-2</v>
      </c>
      <c r="I119" s="25">
        <f t="shared" si="5"/>
        <v>4.808046256424503E-2</v>
      </c>
      <c r="J119" s="16">
        <f>Таблица224[[#This Row],[Столбец20]]/$D$4*100</f>
        <v>4.5971101224457654E-2</v>
      </c>
    </row>
    <row r="120" spans="1:10" ht="22.5" customHeight="1" x14ac:dyDescent="0.2">
      <c r="A120" s="21" t="s">
        <v>33</v>
      </c>
      <c r="B120" s="16">
        <v>11.487135</v>
      </c>
      <c r="C120" s="16">
        <v>15.9</v>
      </c>
      <c r="D120" s="16">
        <v>15.9</v>
      </c>
      <c r="E120" s="16">
        <f>Таблица224[[#This Row],[Столбец20]]/Таблица224[[#This Row],[Столбец14]]*100-100</f>
        <v>0</v>
      </c>
      <c r="F120" s="16">
        <f>Таблица224[[#This Row],[Столбец14]]-Таблица224[[#This Row],[Столбец5]]</f>
        <v>4.412865</v>
      </c>
      <c r="G120" s="16">
        <f>Таблица224[[#This Row],[Столбец20]]-Таблица224[[#This Row],[Столбец14]]</f>
        <v>0</v>
      </c>
      <c r="H120" s="16">
        <f>Таблица224[[#This Row],[Столбец5]]/$B$4*100</f>
        <v>1.1049146820053096E-2</v>
      </c>
      <c r="I120" s="16">
        <f>Таблица224[[#This Row],[Столбец14]]/$C$4*100</f>
        <v>1.3804000555632726E-2</v>
      </c>
      <c r="J120" s="16">
        <f>Таблица224[[#This Row],[Столбец20]]/$D$4*100</f>
        <v>1.2520177959762197E-2</v>
      </c>
    </row>
    <row r="121" spans="1:10" ht="22.5" customHeight="1" x14ac:dyDescent="0.2">
      <c r="A121" s="21" t="s">
        <v>35</v>
      </c>
      <c r="B121" s="20">
        <f>68.4+9.7</f>
        <v>78.100000000000009</v>
      </c>
      <c r="C121" s="20">
        <v>39.481000000000002</v>
      </c>
      <c r="D121" s="20">
        <v>42.481000000000002</v>
      </c>
      <c r="E121" s="20">
        <v>0</v>
      </c>
      <c r="F121" s="20">
        <f>Таблица224[[#This Row],[Столбец14]]-Таблица224[[#This Row],[Столбец5]]</f>
        <v>-38.619000000000007</v>
      </c>
      <c r="G121" s="20">
        <f>Таблица224[[#This Row],[Столбец20]]-Таблица224[[#This Row],[Столбец14]]</f>
        <v>3</v>
      </c>
      <c r="H121" s="20">
        <f>Таблица224[[#This Row],[Столбец5]]/$B$4*100</f>
        <v>7.5122157669962691E-2</v>
      </c>
      <c r="I121" s="16">
        <f>Таблица224[[#This Row],[Столбец14]]/$C$4*100</f>
        <v>3.4276462008612306E-2</v>
      </c>
      <c r="J121" s="20">
        <f>Таблица224[[#This Row],[Столбец20]]/$D$4*100</f>
        <v>3.345092326469546E-2</v>
      </c>
    </row>
    <row r="122" spans="1:10" ht="22.5" customHeight="1" x14ac:dyDescent="0.2">
      <c r="A122" s="23" t="s">
        <v>29</v>
      </c>
      <c r="B122" s="16">
        <v>3.78315</v>
      </c>
      <c r="C122" s="16">
        <v>4.016</v>
      </c>
      <c r="D122" s="16">
        <v>4.2169999999999996</v>
      </c>
      <c r="E122" s="16">
        <f>Таблица224[[#This Row],[Столбец20]]/Таблица224[[#This Row],[Столбец14]]*100-100</f>
        <v>5.0049800796812605</v>
      </c>
      <c r="F122" s="16">
        <f>Таблица224[[#This Row],[Столбец14]]-Таблица224[[#This Row],[Столбец5]]</f>
        <v>0.23285</v>
      </c>
      <c r="G122" s="16">
        <f>Таблица224[[#This Row],[Столбец20]]-Таблица224[[#This Row],[Столбец14]]</f>
        <v>0.20099999999999962</v>
      </c>
      <c r="H122" s="16">
        <f>Таблица224[[#This Row],[Столбец5]]/$B$4*100</f>
        <v>3.6389038513331535E-3</v>
      </c>
      <c r="I122" s="16">
        <f>Таблица224[[#This Row],[Столбец14]]/$C$4*100</f>
        <v>3.4865953604667314E-3</v>
      </c>
      <c r="J122" s="16">
        <f>Таблица224[[#This Row],[Столбец20]]/$D$4*100</f>
        <v>3.3206031733532815E-3</v>
      </c>
    </row>
    <row r="123" spans="1:10" ht="22.5" customHeight="1" x14ac:dyDescent="0.2">
      <c r="A123" s="107" t="s">
        <v>63</v>
      </c>
      <c r="B123" s="110">
        <f>SUM(B124)</f>
        <v>4144.6000000000004</v>
      </c>
      <c r="C123" s="106">
        <f>SUM(C124,)</f>
        <v>3449.6</v>
      </c>
      <c r="D123" s="106">
        <f>SUM(D124,)</f>
        <v>4437.3</v>
      </c>
      <c r="E123" s="106">
        <f>Таблица224[[#This Row],[Столбец20]]/Таблица224[[#This Row],[Столбец14]]*100-100</f>
        <v>28.632305194805184</v>
      </c>
      <c r="F123" s="106">
        <f>Таблица224[[#This Row],[Столбец14]]-Таблица224[[#This Row],[Столбец5]]</f>
        <v>-695.00000000000045</v>
      </c>
      <c r="G123" s="106">
        <f>Таблица224[[#This Row],[Столбец20]]-Таблица224[[#This Row],[Столбец14]]</f>
        <v>987.70000000000027</v>
      </c>
      <c r="H123" s="106">
        <f>Таблица224[[#This Row],[Столбец5]]/$B$4*100</f>
        <v>3.9865722750182764</v>
      </c>
      <c r="I123" s="106">
        <f>Таблица224[[#This Row],[Столбец14]]/$C$4*100</f>
        <v>2.9948603972773995</v>
      </c>
      <c r="J123" s="106">
        <f>Таблица224[[#This Row],[Столбец20]]/$D$4*100</f>
        <v>3.4940745698649556</v>
      </c>
    </row>
    <row r="124" spans="1:10" ht="22.5" customHeight="1" x14ac:dyDescent="0.2">
      <c r="A124" s="23" t="s">
        <v>27</v>
      </c>
      <c r="B124" s="28">
        <v>4144.6000000000004</v>
      </c>
      <c r="C124" s="16">
        <f>3429.6+20</f>
        <v>3449.6</v>
      </c>
      <c r="D124" s="16">
        <f>4375.3+62</f>
        <v>4437.3</v>
      </c>
      <c r="E124" s="16">
        <f>Таблица224[[#This Row],[Столбец20]]/Таблица224[[#This Row],[Столбец14]]*100-100</f>
        <v>28.632305194805184</v>
      </c>
      <c r="F124" s="16">
        <f>Таблица224[[#This Row],[Столбец14]]-Таблица224[[#This Row],[Столбец5]]</f>
        <v>-695.00000000000045</v>
      </c>
      <c r="G124" s="16">
        <f>Таблица224[[#This Row],[Столбец20]]-Таблица224[[#This Row],[Столбец14]]</f>
        <v>987.70000000000027</v>
      </c>
      <c r="H124" s="16">
        <f>Таблица224[[#This Row],[Столбец5]]/$B$4*100</f>
        <v>3.9865722750182764</v>
      </c>
      <c r="I124" s="16">
        <f>Таблица224[[#This Row],[Столбец14]]/$C$4*100</f>
        <v>2.9948603972773995</v>
      </c>
      <c r="J124" s="16">
        <f>Таблица224[[#This Row],[Столбец20]]/$D$4*100</f>
        <v>3.4940745698649556</v>
      </c>
    </row>
    <row r="125" spans="1:10" ht="22.5" customHeight="1" x14ac:dyDescent="0.2">
      <c r="A125" s="19" t="s">
        <v>64</v>
      </c>
      <c r="B125" s="28">
        <f>400+100</f>
        <v>500</v>
      </c>
      <c r="C125" s="16">
        <v>5</v>
      </c>
      <c r="D125" s="16">
        <v>5</v>
      </c>
      <c r="E125" s="16">
        <f>Таблица224[[#This Row],[Столбец20]]/Таблица224[[#This Row],[Столбец14]]*100-100</f>
        <v>0</v>
      </c>
      <c r="F125" s="16">
        <f>Таблица224[[#This Row],[Столбец14]]-Таблица224[[#This Row],[Столбец5]]</f>
        <v>-495</v>
      </c>
      <c r="G125" s="16">
        <f>Таблица224[[#This Row],[Столбец20]]-Таблица224[[#This Row],[Столбец14]]</f>
        <v>0</v>
      </c>
      <c r="H125" s="16">
        <f>Таблица224[[#This Row],[Столбец5]]/$B$4*100</f>
        <v>0.48093570851448575</v>
      </c>
      <c r="I125" s="16">
        <f>Таблица224[[#This Row],[Столбец14]]/$C$4*100</f>
        <v>4.3408806778719262E-3</v>
      </c>
      <c r="J125" s="16">
        <f>Таблица224[[#This Row],[Столбец20]]/$D$4*100</f>
        <v>3.9371628804283632E-3</v>
      </c>
    </row>
    <row r="126" spans="1:10" ht="22.5" customHeight="1" x14ac:dyDescent="0.2">
      <c r="A126" s="29" t="s">
        <v>38</v>
      </c>
      <c r="B126" s="30">
        <f>1086.958+200</f>
        <v>1286.9580000000001</v>
      </c>
      <c r="C126" s="20">
        <f>1210.1+200</f>
        <v>1410.1</v>
      </c>
      <c r="D126" s="20">
        <f>1465+200</f>
        <v>1665</v>
      </c>
      <c r="E126" s="20">
        <f>Таблица224[[#This Row],[Столбец20]]/Таблица224[[#This Row],[Столбец14]]*100-100</f>
        <v>18.076732146656283</v>
      </c>
      <c r="F126" s="20">
        <f>Таблица224[[#This Row],[Столбец14]]-Таблица224[[#This Row],[Столбец5]]</f>
        <v>123.14199999999983</v>
      </c>
      <c r="G126" s="20">
        <f>Таблица224[[#This Row],[Столбец20]]-Таблица224[[#This Row],[Столбец14]]</f>
        <v>254.90000000000009</v>
      </c>
      <c r="H126" s="20">
        <f>Таблица224[[#This Row],[Столбец5]]/$B$4*100</f>
        <v>1.2378881151167713</v>
      </c>
      <c r="I126" s="16">
        <f>Таблица224[[#This Row],[Столбец14]]/$C$4*100</f>
        <v>1.2242151687734408</v>
      </c>
      <c r="J126" s="20">
        <f>Таблица224[[#This Row],[Столбец20]]/$D$4*100</f>
        <v>1.311075239182645</v>
      </c>
    </row>
    <row r="127" spans="1:10" ht="22.5" customHeight="1" x14ac:dyDescent="0.2">
      <c r="A127" s="29" t="s">
        <v>39</v>
      </c>
      <c r="B127" s="32">
        <v>168</v>
      </c>
      <c r="C127" s="31">
        <v>106</v>
      </c>
      <c r="D127" s="31">
        <v>106</v>
      </c>
      <c r="E127" s="31">
        <f>Таблица224[[#This Row],[Столбец20]]/Таблица224[[#This Row],[Столбец14]]*100-100</f>
        <v>0</v>
      </c>
      <c r="F127" s="31">
        <f>Таблица224[[#This Row],[Столбец14]]-Таблица224[[#This Row],[Столбец5]]</f>
        <v>-62</v>
      </c>
      <c r="G127" s="31">
        <f>Таблица224[[#This Row],[Столбец20]]-Таблица224[[#This Row],[Столбец14]]</f>
        <v>0</v>
      </c>
      <c r="H127" s="31">
        <f>Таблица224[[#This Row],[Столбец5]]/$B$4*100</f>
        <v>0.16159439806086723</v>
      </c>
      <c r="I127" s="16">
        <f>Таблица224[[#This Row],[Столбец14]]/$C$4*100</f>
        <v>9.2026670370884842E-2</v>
      </c>
      <c r="J127" s="31">
        <f>Таблица224[[#This Row],[Столбец20]]/$D$4*100</f>
        <v>8.346785306508131E-2</v>
      </c>
    </row>
    <row r="128" spans="1:10" ht="22.5" customHeight="1" x14ac:dyDescent="0.2">
      <c r="A128" s="29" t="s">
        <v>8</v>
      </c>
      <c r="B128" s="32">
        <f>B129+B130</f>
        <v>1169.761</v>
      </c>
      <c r="C128" s="31">
        <f>SUM(C129:C130)</f>
        <v>1227.74</v>
      </c>
      <c r="D128" s="31">
        <f>SUM(D129:D130)</f>
        <v>1279.9199999999998</v>
      </c>
      <c r="E128" s="31">
        <f>Таблица224[[#This Row],[Столбец20]]/Таблица224[[#This Row],[Столбец14]]*100-100</f>
        <v>4.2500855229934587</v>
      </c>
      <c r="F128" s="31">
        <f>Таблица224[[#This Row],[Столбец14]]-Таблица224[[#This Row],[Столбец5]]</f>
        <v>57.979000000000042</v>
      </c>
      <c r="G128" s="31">
        <f>Таблица224[[#This Row],[Столбец20]]-Таблица224[[#This Row],[Столбец14]]</f>
        <v>52.179999999999836</v>
      </c>
      <c r="H128" s="31">
        <f>Таблица224[[#This Row],[Столбец5]]/$B$4*100</f>
        <v>1.1251596706552267</v>
      </c>
      <c r="I128" s="16">
        <f>Таблица224[[#This Row],[Столбец14]]/$C$4*100</f>
        <v>1.065894568690096</v>
      </c>
      <c r="J128" s="31">
        <f>Таблица224[[#This Row],[Столбец20]]/$D$4*100</f>
        <v>1.0078507027835741</v>
      </c>
    </row>
    <row r="129" spans="1:10" ht="22.5" customHeight="1" x14ac:dyDescent="0.2">
      <c r="A129" s="29" t="s">
        <v>41</v>
      </c>
      <c r="B129" s="28">
        <v>109.8</v>
      </c>
      <c r="C129" s="16">
        <v>99.94</v>
      </c>
      <c r="D129" s="16">
        <v>94.82</v>
      </c>
      <c r="E129" s="16">
        <f>Таблица224[[#This Row],[Столбец20]]/Таблица224[[#This Row],[Столбец14]]*100-100</f>
        <v>-5.1230738443065889</v>
      </c>
      <c r="F129" s="31">
        <f>Таблица224[[#This Row],[Столбец14]]-Таблица224[[#This Row],[Столбец5]]</f>
        <v>-9.86</v>
      </c>
      <c r="G129" s="31">
        <f>Таблица224[[#This Row],[Столбец20]]-Таблица224[[#This Row],[Столбец14]]</f>
        <v>-5.1200000000000045</v>
      </c>
      <c r="H129" s="31">
        <f>Таблица224[[#This Row],[Столбец5]]/$B$4*100</f>
        <v>0.10561348158978107</v>
      </c>
      <c r="I129" s="16">
        <f>Таблица224[[#This Row],[Столбец14]]/$C$4*100</f>
        <v>8.6765522989304067E-2</v>
      </c>
      <c r="J129" s="16">
        <f>Таблица224[[#This Row],[Столбец20]]/$D$4*100</f>
        <v>7.4664356864443476E-2</v>
      </c>
    </row>
    <row r="130" spans="1:10" ht="22.5" customHeight="1" x14ac:dyDescent="0.2">
      <c r="A130" s="29" t="s">
        <v>40</v>
      </c>
      <c r="B130" s="32">
        <v>1059.961</v>
      </c>
      <c r="C130" s="31">
        <v>1127.8</v>
      </c>
      <c r="D130" s="31">
        <v>1185.0999999999999</v>
      </c>
      <c r="E130" s="16">
        <f>Таблица224[[#This Row],[Столбец20]]/Таблица224[[#This Row],[Столбец14]]*100-100</f>
        <v>5.0806880652597926</v>
      </c>
      <c r="F130" s="31">
        <f>Таблица224[[#This Row],[Столбец14]]-Таблица224[[#This Row],[Столбец5]]</f>
        <v>67.838999999999942</v>
      </c>
      <c r="G130" s="31">
        <f>Таблица224[[#This Row],[Столбец20]]-Таблица224[[#This Row],[Столбец14]]</f>
        <v>57.299999999999955</v>
      </c>
      <c r="H130" s="31">
        <f>Таблица224[[#This Row],[Столбец5]]/$B$4*100</f>
        <v>1.0195461890654458</v>
      </c>
      <c r="I130" s="16">
        <f>Таблица224[[#This Row],[Столбец14]]/$C$4*100</f>
        <v>0.97912904570079173</v>
      </c>
      <c r="J130" s="31">
        <f>Таблица224[[#This Row],[Столбец20]]/$D$4*100</f>
        <v>0.93318634591913052</v>
      </c>
    </row>
    <row r="131" spans="1:10" ht="22.5" customHeight="1" x14ac:dyDescent="0.2">
      <c r="A131" s="111" t="s">
        <v>65</v>
      </c>
      <c r="B131" s="112">
        <f>B10-B19</f>
        <v>-1457.1109529999994</v>
      </c>
      <c r="C131" s="112">
        <f>C10-C19</f>
        <v>-576.85299999999552</v>
      </c>
      <c r="D131" s="112">
        <f>D10-D19</f>
        <v>-639.40800000001036</v>
      </c>
      <c r="E131" s="112">
        <f>Таблица224[[#This Row],[Столбец20]]/Таблица224[[#This Row],[Столбец14]]*100-100</f>
        <v>10.844183873537162</v>
      </c>
      <c r="F131" s="112">
        <f>Таблица224[[#This Row],[Столбец14]]-Таблица224[[#This Row],[Столбец5]]</f>
        <v>880.25795300000391</v>
      </c>
      <c r="G131" s="112">
        <f>Таблица224[[#This Row],[Столбец20]]-Таблица224[[#This Row],[Столбец14]]</f>
        <v>-62.555000000014843</v>
      </c>
      <c r="H131" s="112">
        <f>Таблица224[[#This Row],[Столбец5]]/$B$4*100</f>
        <v>-1.4015533771305446</v>
      </c>
      <c r="I131" s="112">
        <f>Таблица224[[#This Row],[Столбец14]]/$C$4*100</f>
        <v>-0.50081000833448697</v>
      </c>
      <c r="J131" s="112">
        <f>Таблица224[[#This Row],[Столбец20]]/$D$4*100</f>
        <v>-0.50349068860979596</v>
      </c>
    </row>
    <row r="134" spans="1:10" x14ac:dyDescent="0.2">
      <c r="C134" s="74"/>
      <c r="D134" s="74"/>
      <c r="E134" s="33"/>
      <c r="F134" s="37"/>
      <c r="G134" s="33"/>
      <c r="H134" s="33"/>
      <c r="I134" s="33"/>
      <c r="J134" s="34"/>
    </row>
    <row r="135" spans="1:10" x14ac:dyDescent="0.2">
      <c r="C135" s="75"/>
      <c r="D135" s="75"/>
    </row>
  </sheetData>
  <mergeCells count="2">
    <mergeCell ref="A1:J1"/>
    <mergeCell ref="I2:J2"/>
  </mergeCells>
  <pageMargins left="0.48" right="0.27559055118110237" top="0.39370078740157483" bottom="0.55118110236220474" header="0.74803149606299213" footer="0.31496062992125984"/>
  <pageSetup paperSize="9" scale="85" orientation="landscape" r:id="rId1"/>
  <colBreaks count="1" manualBreakCount="1">
    <brk id="10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showGridLines="0" topLeftCell="A3" zoomScaleNormal="100" zoomScaleSheetLayoutView="70" workbookViewId="0">
      <pane xSplit="1" ySplit="3" topLeftCell="B9" activePane="bottomRight" state="frozen"/>
      <selection activeCell="D14" sqref="D14"/>
      <selection pane="topRight" activeCell="D14" sqref="D14"/>
      <selection pane="bottomLeft" activeCell="D14" sqref="D14"/>
      <selection pane="bottomRight" activeCell="E44" sqref="E44"/>
    </sheetView>
  </sheetViews>
  <sheetFormatPr defaultColWidth="9.140625" defaultRowHeight="18" x14ac:dyDescent="0.2"/>
  <cols>
    <col min="1" max="1" width="62" style="2" customWidth="1"/>
    <col min="2" max="2" width="15.42578125" style="10" customWidth="1"/>
    <col min="3" max="3" width="14.140625" style="2" customWidth="1"/>
    <col min="4" max="4" width="16.5703125" style="2" bestFit="1" customWidth="1"/>
    <col min="5" max="5" width="11.85546875" style="8" customWidth="1"/>
    <col min="6" max="6" width="14" style="3" customWidth="1"/>
    <col min="7" max="7" width="16.85546875" style="3" customWidth="1"/>
    <col min="8" max="8" width="17.28515625" style="2" customWidth="1"/>
    <col min="9" max="16384" width="9.140625" style="2"/>
  </cols>
  <sheetData>
    <row r="1" spans="1:10" ht="42.75" hidden="1" customHeight="1" x14ac:dyDescent="0.2">
      <c r="F1" s="302"/>
      <c r="G1" s="302"/>
    </row>
    <row r="2" spans="1:10" ht="15.6" hidden="1" customHeight="1" x14ac:dyDescent="0.2">
      <c r="F2" s="124"/>
      <c r="G2" s="124"/>
    </row>
    <row r="3" spans="1:10" ht="44.25" customHeight="1" x14ac:dyDescent="0.2">
      <c r="A3" s="303" t="s">
        <v>56</v>
      </c>
      <c r="B3" s="303"/>
      <c r="C3" s="303"/>
      <c r="D3" s="303"/>
      <c r="E3" s="303"/>
      <c r="F3" s="303"/>
      <c r="G3" s="303"/>
      <c r="H3" s="303"/>
    </row>
    <row r="4" spans="1:10" s="1" customFormat="1" ht="29.45" customHeight="1" x14ac:dyDescent="0.2">
      <c r="A4" s="66"/>
      <c r="B4" s="66"/>
      <c r="C4" s="66"/>
      <c r="D4" s="66"/>
      <c r="E4" s="83"/>
      <c r="F4" s="83"/>
      <c r="G4" s="84"/>
      <c r="H4" s="76" t="s">
        <v>74</v>
      </c>
      <c r="I4" s="126"/>
      <c r="J4" s="126"/>
    </row>
    <row r="5" spans="1:10" ht="87" customHeight="1" x14ac:dyDescent="0.2">
      <c r="A5" s="117" t="s">
        <v>26</v>
      </c>
      <c r="B5" s="118" t="s">
        <v>52</v>
      </c>
      <c r="C5" s="118" t="s">
        <v>53</v>
      </c>
      <c r="D5" s="118" t="s">
        <v>75</v>
      </c>
      <c r="E5" s="118" t="s">
        <v>54</v>
      </c>
      <c r="F5" s="118" t="s">
        <v>50</v>
      </c>
      <c r="G5" s="118" t="s">
        <v>55</v>
      </c>
      <c r="H5" s="119" t="s">
        <v>76</v>
      </c>
      <c r="I5" s="126"/>
      <c r="J5" s="126"/>
    </row>
    <row r="6" spans="1:10" s="4" customFormat="1" ht="32.25" customHeight="1" x14ac:dyDescent="0.2">
      <c r="A6" s="120" t="s">
        <v>18</v>
      </c>
      <c r="B6" s="121">
        <v>92640.5</v>
      </c>
      <c r="C6" s="121">
        <v>103964</v>
      </c>
      <c r="D6" s="121">
        <v>103984</v>
      </c>
      <c r="E6" s="121" t="s">
        <v>16</v>
      </c>
      <c r="F6" s="121" t="s">
        <v>16</v>
      </c>
      <c r="G6" s="122" t="s">
        <v>16</v>
      </c>
      <c r="H6" s="123" t="s">
        <v>16</v>
      </c>
      <c r="I6" s="127"/>
      <c r="J6" s="127"/>
    </row>
    <row r="7" spans="1:10" s="5" customFormat="1" ht="21" x14ac:dyDescent="0.2">
      <c r="A7" s="77" t="s">
        <v>15</v>
      </c>
      <c r="B7" s="78">
        <v>6.0214696895134949</v>
      </c>
      <c r="C7" s="78">
        <f>C6/B6*100-100</f>
        <v>12.22305579093377</v>
      </c>
      <c r="D7" s="78">
        <v>11.2321284967158</v>
      </c>
      <c r="E7" s="79" t="s">
        <v>16</v>
      </c>
      <c r="F7" s="79" t="s">
        <v>16</v>
      </c>
      <c r="G7" s="79" t="s">
        <v>16</v>
      </c>
      <c r="H7" s="80" t="s">
        <v>16</v>
      </c>
      <c r="I7" s="128"/>
      <c r="J7" s="128"/>
    </row>
    <row r="8" spans="1:10" s="5" customFormat="1" ht="21" x14ac:dyDescent="0.2">
      <c r="A8" s="77" t="s">
        <v>0</v>
      </c>
      <c r="B8" s="79">
        <v>7.6</v>
      </c>
      <c r="C8" s="79">
        <v>7.9</v>
      </c>
      <c r="D8" s="79">
        <v>7.9</v>
      </c>
      <c r="E8" s="79" t="s">
        <v>16</v>
      </c>
      <c r="F8" s="79" t="s">
        <v>16</v>
      </c>
      <c r="G8" s="79" t="s">
        <v>16</v>
      </c>
      <c r="H8" s="80" t="s">
        <v>16</v>
      </c>
      <c r="I8" s="128"/>
      <c r="J8" s="128"/>
    </row>
    <row r="9" spans="1:10" s="6" customFormat="1" ht="21" x14ac:dyDescent="0.2">
      <c r="A9" s="77" t="s">
        <v>1</v>
      </c>
      <c r="B9" s="79">
        <v>6.9</v>
      </c>
      <c r="C9" s="78">
        <v>7</v>
      </c>
      <c r="D9" s="78">
        <v>7</v>
      </c>
      <c r="E9" s="79" t="s">
        <v>16</v>
      </c>
      <c r="F9" s="79" t="s">
        <v>16</v>
      </c>
      <c r="G9" s="79" t="s">
        <v>16</v>
      </c>
      <c r="H9" s="80" t="s">
        <v>16</v>
      </c>
      <c r="I9" s="128"/>
      <c r="J9" s="128"/>
    </row>
    <row r="10" spans="1:10" s="6" customFormat="1" ht="21" x14ac:dyDescent="0.2">
      <c r="A10" s="77" t="s">
        <v>9</v>
      </c>
      <c r="B10" s="79">
        <v>3.1</v>
      </c>
      <c r="C10" s="79">
        <v>3.4</v>
      </c>
      <c r="D10" s="79">
        <v>3.4</v>
      </c>
      <c r="E10" s="79" t="s">
        <v>16</v>
      </c>
      <c r="F10" s="79" t="s">
        <v>16</v>
      </c>
      <c r="G10" s="79" t="s">
        <v>16</v>
      </c>
      <c r="H10" s="80" t="s">
        <v>16</v>
      </c>
      <c r="I10" s="128"/>
      <c r="J10" s="128"/>
    </row>
    <row r="11" spans="1:10" s="5" customFormat="1" ht="42" x14ac:dyDescent="0.2">
      <c r="A11" s="77" t="s">
        <v>19</v>
      </c>
      <c r="B11" s="81">
        <v>11</v>
      </c>
      <c r="C11" s="81">
        <v>13.3</v>
      </c>
      <c r="D11" s="81">
        <v>13.3</v>
      </c>
      <c r="E11" s="81" t="s">
        <v>16</v>
      </c>
      <c r="F11" s="81" t="s">
        <v>16</v>
      </c>
      <c r="G11" s="81" t="s">
        <v>16</v>
      </c>
      <c r="H11" s="82" t="s">
        <v>16</v>
      </c>
      <c r="I11" s="128"/>
      <c r="J11" s="128"/>
    </row>
    <row r="12" spans="1:10" s="5" customFormat="1" ht="30" customHeight="1" x14ac:dyDescent="0.2">
      <c r="A12" s="85" t="s">
        <v>17</v>
      </c>
      <c r="B12" s="86">
        <f>B16+B20+B23</f>
        <v>27645.795103</v>
      </c>
      <c r="C12" s="86">
        <f>C16+C20+C23</f>
        <v>30257.818150000003</v>
      </c>
      <c r="D12" s="86">
        <f>D16+D20+D23</f>
        <v>31301.529149999998</v>
      </c>
      <c r="E12" s="86">
        <f>D12-B12</f>
        <v>3655.7340469999981</v>
      </c>
      <c r="F12" s="86">
        <f>Таблица224627910121314572[[#This Row],[Столбец8]]/Таблица224627910121314572[[#This Row],[Столбец4]]*100-100</f>
        <v>13.223472261802655</v>
      </c>
      <c r="G12" s="86">
        <f>B12/$B$6*100</f>
        <v>29.842018450893509</v>
      </c>
      <c r="H12" s="87">
        <f t="shared" ref="H12:H75" si="0">D12/$D$6*100</f>
        <v>30.102255298892132</v>
      </c>
      <c r="I12" s="128"/>
      <c r="J12" s="128"/>
    </row>
    <row r="13" spans="1:10" s="5" customFormat="1" ht="28.5" customHeight="1" x14ac:dyDescent="0.2">
      <c r="A13" s="85" t="s">
        <v>49</v>
      </c>
      <c r="B13" s="88">
        <f>B14+B15</f>
        <v>20200</v>
      </c>
      <c r="C13" s="88">
        <f>C14+C15</f>
        <v>21227.1</v>
      </c>
      <c r="D13" s="88">
        <f>D14+D15</f>
        <v>21927.1</v>
      </c>
      <c r="E13" s="88">
        <f t="shared" ref="E13:E76" si="1">D13-B13</f>
        <v>1727.0999999999985</v>
      </c>
      <c r="F13" s="88">
        <f>Таблица224627910121314572[[#This Row],[Столбец8]]/Таблица224627910121314572[[#This Row],[Столбец4]]*100-100</f>
        <v>8.5499999999999972</v>
      </c>
      <c r="G13" s="88">
        <f>Таблица224627910121314572[[#This Row],[Столбец4]]/$B$6*100</f>
        <v>21.804718238783252</v>
      </c>
      <c r="H13" s="89">
        <f t="shared" si="0"/>
        <v>21.086994152946605</v>
      </c>
      <c r="I13" s="128"/>
      <c r="J13" s="128"/>
    </row>
    <row r="14" spans="1:10" s="5" customFormat="1" ht="21" x14ac:dyDescent="0.2">
      <c r="A14" s="90" t="s">
        <v>46</v>
      </c>
      <c r="B14" s="91">
        <f>B17</f>
        <v>18802.035</v>
      </c>
      <c r="C14" s="91">
        <f>19429+362.1</f>
        <v>19791.099999999999</v>
      </c>
      <c r="D14" s="91">
        <f>19429+352.1+700</f>
        <v>20481.099999999999</v>
      </c>
      <c r="E14" s="91">
        <f t="shared" si="1"/>
        <v>1679.0649999999987</v>
      </c>
      <c r="F14" s="91">
        <f>Таблица224627910121314572[[#This Row],[Столбец8]]/Таблица224627910121314572[[#This Row],[Столбец4]]*100-100</f>
        <v>8.9302301585971975</v>
      </c>
      <c r="G14" s="91">
        <f>Таблица224627910121314572[[#This Row],[Столбец4]]/$B$6*100</f>
        <v>20.295696806472328</v>
      </c>
      <c r="H14" s="92">
        <f t="shared" si="0"/>
        <v>19.696395599322972</v>
      </c>
      <c r="I14" s="128"/>
      <c r="J14" s="128"/>
    </row>
    <row r="15" spans="1:10" s="5" customFormat="1" ht="21" x14ac:dyDescent="0.2">
      <c r="A15" s="90" t="s">
        <v>45</v>
      </c>
      <c r="B15" s="91">
        <f>B18</f>
        <v>1397.9649999999999</v>
      </c>
      <c r="C15" s="91">
        <v>1436</v>
      </c>
      <c r="D15" s="91">
        <v>1446</v>
      </c>
      <c r="E15" s="91">
        <f t="shared" si="1"/>
        <v>48.035000000000082</v>
      </c>
      <c r="F15" s="91">
        <f>Таблица224627910121314572[[#This Row],[Столбец8]]/Таблица224627910121314572[[#This Row],[Столбец4]]*100-100</f>
        <v>3.436065995929809</v>
      </c>
      <c r="G15" s="91">
        <f>Таблица224627910121314572[[#This Row],[Столбец4]]/$B$6*100</f>
        <v>1.5090214323109223</v>
      </c>
      <c r="H15" s="92">
        <f t="shared" si="0"/>
        <v>1.3905985536236345</v>
      </c>
      <c r="I15" s="128"/>
      <c r="J15" s="128"/>
    </row>
    <row r="16" spans="1:10" s="5" customFormat="1" ht="42" x14ac:dyDescent="0.2">
      <c r="A16" s="85" t="s">
        <v>48</v>
      </c>
      <c r="B16" s="88">
        <f>B17+B18+B19</f>
        <v>20500</v>
      </c>
      <c r="C16" s="88">
        <f>C17+C18+C19</f>
        <v>21759.1</v>
      </c>
      <c r="D16" s="88">
        <f>D17+D18+D19</f>
        <v>22459.1</v>
      </c>
      <c r="E16" s="88">
        <f t="shared" si="1"/>
        <v>1959.0999999999985</v>
      </c>
      <c r="F16" s="88">
        <f>Таблица224627910121314572[[#This Row],[Столбец8]]/Таблица224627910121314572[[#This Row],[Столбец4]]*100-100</f>
        <v>9.5565853658536355</v>
      </c>
      <c r="G16" s="88">
        <f>Таблица224627910121314572[[#This Row],[Столбец4]]/$B$6*100</f>
        <v>22.128550687874093</v>
      </c>
      <c r="H16" s="89">
        <f t="shared" si="0"/>
        <v>21.598611324819199</v>
      </c>
      <c r="I16" s="128"/>
      <c r="J16" s="128"/>
    </row>
    <row r="17" spans="1:16" s="5" customFormat="1" ht="21" x14ac:dyDescent="0.2">
      <c r="A17" s="90" t="s">
        <v>46</v>
      </c>
      <c r="B17" s="91">
        <v>18802.035</v>
      </c>
      <c r="C17" s="91">
        <f>19429+362.1</f>
        <v>19791.099999999999</v>
      </c>
      <c r="D17" s="91">
        <f>19429+352.1+700</f>
        <v>20481.099999999999</v>
      </c>
      <c r="E17" s="91">
        <f t="shared" si="1"/>
        <v>1679.0649999999987</v>
      </c>
      <c r="F17" s="91">
        <f>Таблица224627910121314572[[#This Row],[Столбец8]]/Таблица224627910121314572[[#This Row],[Столбец4]]*100-100</f>
        <v>8.9302301585971975</v>
      </c>
      <c r="G17" s="91">
        <f>Таблица224627910121314572[[#This Row],[Столбец4]]/$B$6*100</f>
        <v>20.295696806472328</v>
      </c>
      <c r="H17" s="92">
        <f t="shared" si="0"/>
        <v>19.696395599322972</v>
      </c>
      <c r="I17" s="128"/>
      <c r="J17" s="128"/>
    </row>
    <row r="18" spans="1:16" s="5" customFormat="1" ht="21" x14ac:dyDescent="0.2">
      <c r="A18" s="90" t="s">
        <v>45</v>
      </c>
      <c r="B18" s="91">
        <v>1397.9649999999999</v>
      </c>
      <c r="C18" s="91">
        <v>1436</v>
      </c>
      <c r="D18" s="91">
        <v>1446</v>
      </c>
      <c r="E18" s="91">
        <f t="shared" si="1"/>
        <v>48.035000000000082</v>
      </c>
      <c r="F18" s="91">
        <f>Таблица224627910121314572[[#This Row],[Столбец8]]/Таблица224627910121314572[[#This Row],[Столбец4]]*100-100</f>
        <v>3.436065995929809</v>
      </c>
      <c r="G18" s="91">
        <f>Таблица224627910121314572[[#This Row],[Столбец4]]/$B$6*100</f>
        <v>1.5090214323109223</v>
      </c>
      <c r="H18" s="92">
        <f t="shared" si="0"/>
        <v>1.3905985536236345</v>
      </c>
      <c r="I18" s="128"/>
      <c r="J18" s="128"/>
    </row>
    <row r="19" spans="1:16" s="5" customFormat="1" ht="21" x14ac:dyDescent="0.2">
      <c r="A19" s="90" t="s">
        <v>25</v>
      </c>
      <c r="B19" s="93">
        <v>300</v>
      </c>
      <c r="C19" s="91">
        <f>40*C11</f>
        <v>532</v>
      </c>
      <c r="D19" s="91">
        <f>40*D11</f>
        <v>532</v>
      </c>
      <c r="E19" s="91">
        <f t="shared" si="1"/>
        <v>232</v>
      </c>
      <c r="F19" s="91">
        <f>Таблица224627910121314572[[#This Row],[Столбец8]]/Таблица224627910121314572[[#This Row],[Столбец4]]*100-100</f>
        <v>77.333333333333343</v>
      </c>
      <c r="G19" s="91">
        <f>Таблица224627910121314572[[#This Row],[Столбец4]]/$B$6*100</f>
        <v>0.32383244909084041</v>
      </c>
      <c r="H19" s="92">
        <f t="shared" si="0"/>
        <v>0.51161717187259581</v>
      </c>
      <c r="I19" s="128"/>
      <c r="J19" s="128"/>
    </row>
    <row r="20" spans="1:16" s="5" customFormat="1" ht="42" x14ac:dyDescent="0.2">
      <c r="A20" s="85" t="s">
        <v>20</v>
      </c>
      <c r="B20" s="88">
        <f t="shared" ref="B20:D22" si="2">B29</f>
        <v>4877.6051029999999</v>
      </c>
      <c r="C20" s="88">
        <f>C21+C22</f>
        <v>6190.389000000001</v>
      </c>
      <c r="D20" s="88">
        <f>D21+D22</f>
        <v>6463.9030000000002</v>
      </c>
      <c r="E20" s="88">
        <f t="shared" si="1"/>
        <v>1586.2978970000004</v>
      </c>
      <c r="F20" s="88">
        <f>Таблица224627910121314572[[#This Row],[Столбец8]]/Таблица224627910121314572[[#This Row],[Столбец4]]*100-100</f>
        <v>32.522064896650562</v>
      </c>
      <c r="G20" s="88">
        <f>Таблица224627910121314572[[#This Row],[Столбец4]]/$B$6*100</f>
        <v>5.2650893540082357</v>
      </c>
      <c r="H20" s="89">
        <f t="shared" si="0"/>
        <v>6.2162476919526082</v>
      </c>
      <c r="I20" s="128"/>
      <c r="J20" s="128"/>
    </row>
    <row r="21" spans="1:16" s="6" customFormat="1" ht="21" x14ac:dyDescent="0.2">
      <c r="A21" s="90" t="s">
        <v>21</v>
      </c>
      <c r="B21" s="91">
        <f t="shared" si="2"/>
        <v>2537.4143199999999</v>
      </c>
      <c r="C21" s="91">
        <f t="shared" si="2"/>
        <v>3189.7330000000006</v>
      </c>
      <c r="D21" s="91">
        <f t="shared" si="2"/>
        <v>3463.2469999999998</v>
      </c>
      <c r="E21" s="91">
        <f t="shared" si="1"/>
        <v>925.83267999999998</v>
      </c>
      <c r="F21" s="91">
        <f>Таблица224627910121314572[[#This Row],[Столбец8]]/Таблица224627910121314572[[#This Row],[Столбец4]]*100-100</f>
        <v>36.487248956646539</v>
      </c>
      <c r="G21" s="91">
        <f>Таблица224627910121314572[[#This Row],[Столбец4]]/$B$6*100</f>
        <v>2.7389903120125645</v>
      </c>
      <c r="H21" s="92">
        <f t="shared" si="0"/>
        <v>3.3305575857824281</v>
      </c>
      <c r="I21" s="128"/>
      <c r="J21" s="128"/>
    </row>
    <row r="22" spans="1:16" s="5" customFormat="1" ht="21" x14ac:dyDescent="0.2">
      <c r="A22" s="90" t="s">
        <v>22</v>
      </c>
      <c r="B22" s="91">
        <f t="shared" si="2"/>
        <v>2340.190783</v>
      </c>
      <c r="C22" s="91">
        <f t="shared" si="2"/>
        <v>3000.6559999999999</v>
      </c>
      <c r="D22" s="91">
        <f t="shared" si="2"/>
        <v>3000.6559999999999</v>
      </c>
      <c r="E22" s="91">
        <f t="shared" si="1"/>
        <v>660.46521699999994</v>
      </c>
      <c r="F22" s="91">
        <f>Таблица224627910121314572[[#This Row],[Столбец8]]/Таблица224627910121314572[[#This Row],[Столбец4]]*100-100</f>
        <v>28.222708242330498</v>
      </c>
      <c r="G22" s="91">
        <f>Таблица224627910121314572[[#This Row],[Столбец4]]/$B$6*100</f>
        <v>2.5260990419956717</v>
      </c>
      <c r="H22" s="92">
        <f t="shared" si="0"/>
        <v>2.8856901061701801</v>
      </c>
      <c r="I22" s="128"/>
      <c r="J22" s="128"/>
    </row>
    <row r="23" spans="1:16" s="5" customFormat="1" ht="21" x14ac:dyDescent="0.2">
      <c r="A23" s="85" t="s">
        <v>23</v>
      </c>
      <c r="B23" s="86">
        <v>2268.19</v>
      </c>
      <c r="C23" s="86">
        <f>C32+129</f>
        <v>2308.32915</v>
      </c>
      <c r="D23" s="86">
        <f>D32+134.4</f>
        <v>2378.5261500000001</v>
      </c>
      <c r="E23" s="86">
        <f t="shared" si="1"/>
        <v>110.33615000000009</v>
      </c>
      <c r="F23" s="86">
        <f>Таблица224627910121314572[[#This Row],[Столбец8]]/Таблица224627910121314572[[#This Row],[Столбец4]]*100-100</f>
        <v>4.8645020919764193</v>
      </c>
      <c r="G23" s="86">
        <f>Таблица224627910121314572[[#This Row],[Столбец4]]/$B$6*100</f>
        <v>2.4483784090111778</v>
      </c>
      <c r="H23" s="87">
        <f t="shared" si="0"/>
        <v>2.2873962821203264</v>
      </c>
      <c r="I23" s="128"/>
      <c r="J23" s="128"/>
    </row>
    <row r="24" spans="1:16" s="6" customFormat="1" ht="48.75" customHeight="1" x14ac:dyDescent="0.2">
      <c r="A24" s="85" t="s">
        <v>51</v>
      </c>
      <c r="B24" s="86">
        <f>B25+B29+B32</f>
        <v>28108.956545999998</v>
      </c>
      <c r="C24" s="86">
        <f>C25+C29+C32</f>
        <v>30505.325819000005</v>
      </c>
      <c r="D24" s="86">
        <f>D25+D29+D32</f>
        <v>31854.356080999998</v>
      </c>
      <c r="E24" s="86">
        <f t="shared" si="1"/>
        <v>3745.3995350000005</v>
      </c>
      <c r="F24" s="86">
        <f>Таблица224627910121314572[[#This Row],[Столбец8]]/Таблица224627910121314572[[#This Row],[Столбец4]]*100-100</f>
        <v>13.324576915086467</v>
      </c>
      <c r="G24" s="86">
        <f>Таблица224627910121314572[[#This Row],[Столбец4]]/$B$6*100</f>
        <v>30.341974132263967</v>
      </c>
      <c r="H24" s="87">
        <f t="shared" si="0"/>
        <v>30.633901447338051</v>
      </c>
      <c r="I24" s="128"/>
      <c r="J24" s="128"/>
    </row>
    <row r="25" spans="1:16" s="5" customFormat="1" ht="21" x14ac:dyDescent="0.2">
      <c r="A25" s="94" t="s">
        <v>27</v>
      </c>
      <c r="B25" s="86">
        <f>B34+B41+B48+B83+B129+0.1</f>
        <v>21097.152990999999</v>
      </c>
      <c r="C25" s="86">
        <f>C34+C41+C48+C83+C129+0.1</f>
        <v>22095.901669000003</v>
      </c>
      <c r="D25" s="86">
        <f>D34+D41+D48+D83+D129</f>
        <v>23146.326931</v>
      </c>
      <c r="E25" s="86">
        <f t="shared" si="1"/>
        <v>2049.1739400000006</v>
      </c>
      <c r="F25" s="86">
        <f>Таблица224627910121314572[[#This Row],[Столбец8]]/Таблица224627910121314572[[#This Row],[Столбец4]]*100-100</f>
        <v>9.7130354075460872</v>
      </c>
      <c r="G25" s="86">
        <f>Таблица224627910121314572[[#This Row],[Столбец4]]/$B$6*100</f>
        <v>22.773142406398929</v>
      </c>
      <c r="H25" s="87">
        <f t="shared" si="0"/>
        <v>22.259508127211877</v>
      </c>
      <c r="I25" s="128"/>
      <c r="J25" s="128"/>
    </row>
    <row r="26" spans="1:16" s="5" customFormat="1" ht="21" x14ac:dyDescent="0.2">
      <c r="A26" s="95" t="s">
        <v>33</v>
      </c>
      <c r="B26" s="91">
        <f>B35+B42+B49+B84+B130</f>
        <v>6034.3300409999993</v>
      </c>
      <c r="C26" s="91">
        <f>C35+C42+C49+C84+C130</f>
        <v>6096.1455850000002</v>
      </c>
      <c r="D26" s="91">
        <f>D35+D42+D49+D84+D130</f>
        <v>6591.5811349999985</v>
      </c>
      <c r="E26" s="91">
        <f t="shared" si="1"/>
        <v>557.25109399999928</v>
      </c>
      <c r="F26" s="91">
        <f>Таблица224627910121314572[[#This Row],[Столбец8]]/Таблица224627910121314572[[#This Row],[Столбец4]]*100-100</f>
        <v>9.2346804071666639</v>
      </c>
      <c r="G26" s="91">
        <f>Таблица224627910121314572[[#This Row],[Столбец4]]/$B$6*100</f>
        <v>6.5137062526648704</v>
      </c>
      <c r="H26" s="92">
        <f t="shared" si="0"/>
        <v>6.3390340196568697</v>
      </c>
      <c r="I26" s="128"/>
      <c r="J26" s="128"/>
    </row>
    <row r="27" spans="1:16" s="5" customFormat="1" ht="21" x14ac:dyDescent="0.2">
      <c r="A27" s="95" t="s">
        <v>34</v>
      </c>
      <c r="B27" s="91">
        <f>B36+B43+B50+B85-0.2</f>
        <v>3642.3970000000004</v>
      </c>
      <c r="C27" s="91">
        <f>C36+C43+C50+C85</f>
        <v>3596.0770000000002</v>
      </c>
      <c r="D27" s="91">
        <f>D36+D43+D50+D85-0.2</f>
        <v>4142.3969999999999</v>
      </c>
      <c r="E27" s="91">
        <f t="shared" si="1"/>
        <v>499.99999999999955</v>
      </c>
      <c r="F27" s="91">
        <f>Таблица224627910121314572[[#This Row],[Столбец8]]/Таблица224627910121314572[[#This Row],[Столбец4]]*100-100</f>
        <v>13.727224132899281</v>
      </c>
      <c r="G27" s="91">
        <f>Таблица224627910121314572[[#This Row],[Столбец4]]/$B$6*100</f>
        <v>3.9317544702370997</v>
      </c>
      <c r="H27" s="92">
        <f t="shared" si="0"/>
        <v>3.983686913371288</v>
      </c>
      <c r="I27" s="128"/>
      <c r="J27" s="128"/>
    </row>
    <row r="28" spans="1:16" s="5" customFormat="1" ht="21" x14ac:dyDescent="0.2">
      <c r="A28" s="95" t="s">
        <v>35</v>
      </c>
      <c r="B28" s="96">
        <f>B37+B44+B51+B86+B129-B130</f>
        <v>11420.22595</v>
      </c>
      <c r="C28" s="96">
        <f>C37+C44+C51+C86+C129-C130</f>
        <v>12403.579084000001</v>
      </c>
      <c r="D28" s="96">
        <f>D37+D44+D51+D86+D129-D130</f>
        <v>12412.148796000001</v>
      </c>
      <c r="E28" s="96">
        <f>D28-B28</f>
        <v>991.9228460000013</v>
      </c>
      <c r="F28" s="96">
        <f>Таблица224627910121314572[[#This Row],[Столбец8]]/Таблица224627910121314572[[#This Row],[Столбец4]]*100-100</f>
        <v>8.6856674320003435</v>
      </c>
      <c r="G28" s="96">
        <f>Таблица224627910121314572[[#This Row],[Столбец4]]/$B$6*100</f>
        <v>12.327465795197565</v>
      </c>
      <c r="H28" s="97">
        <f t="shared" si="0"/>
        <v>11.936594856901063</v>
      </c>
      <c r="M28" s="129">
        <f>B37+B44+B58+B65+B72+B79+B93+B100+B107+B114+B120+B126+B129-B130</f>
        <v>11420.12595</v>
      </c>
      <c r="N28" s="129">
        <f>C37+C44+C58+C65+C72+C79+C93+C100+C107+C114+C120+C126+C129-C130</f>
        <v>12403.579084000001</v>
      </c>
      <c r="O28" s="125">
        <f>D37+D44+D58+D65+D72+D79+D93+D100+D107+D114+D120+D126+D129-D130</f>
        <v>12412.148795999998</v>
      </c>
      <c r="P28" s="125">
        <f>E37+E44+E58+E65+E72+E79+E93+E100+E107+E114+E120+E126+E129-E130</f>
        <v>992.02284599999984</v>
      </c>
    </row>
    <row r="29" spans="1:16" s="5" customFormat="1" ht="21" x14ac:dyDescent="0.2">
      <c r="A29" s="98" t="s">
        <v>32</v>
      </c>
      <c r="B29" s="86">
        <f>B38+B45+B52+B87</f>
        <v>4877.6051029999999</v>
      </c>
      <c r="C29" s="86">
        <f>C38+C45+C52+C87</f>
        <v>6230.0950000000003</v>
      </c>
      <c r="D29" s="86">
        <f>D38+D45+D52+D87</f>
        <v>6463.9029999999993</v>
      </c>
      <c r="E29" s="86">
        <f t="shared" si="1"/>
        <v>1586.2978969999995</v>
      </c>
      <c r="F29" s="86">
        <f>Таблица224627910121314572[[#This Row],[Столбец8]]/Таблица224627910121314572[[#This Row],[Столбец4]]*100-100</f>
        <v>32.522064896650562</v>
      </c>
      <c r="G29" s="86">
        <f>Таблица224627910121314572[[#This Row],[Столбец4]]/$B$6*100</f>
        <v>5.2650893540082357</v>
      </c>
      <c r="H29" s="87">
        <f t="shared" si="0"/>
        <v>6.2162476919526073</v>
      </c>
      <c r="I29" s="128"/>
      <c r="J29" s="128"/>
    </row>
    <row r="30" spans="1:16" s="5" customFormat="1" ht="21" x14ac:dyDescent="0.2">
      <c r="A30" s="95" t="s">
        <v>36</v>
      </c>
      <c r="B30" s="99">
        <v>2537.4143199999999</v>
      </c>
      <c r="C30" s="91">
        <f>28.495+131.177+295.515+449.425+265.402+1041.064+212.96+765.695</f>
        <v>3189.7330000000006</v>
      </c>
      <c r="D30" s="91">
        <f>39.9+45.12+144.477+308.815+475.36+295.327+1044.588+232.91+876.75</f>
        <v>3463.2469999999998</v>
      </c>
      <c r="E30" s="91">
        <f t="shared" si="1"/>
        <v>925.83267999999998</v>
      </c>
      <c r="F30" s="91">
        <f>Таблица224627910121314572[[#This Row],[Столбец8]]/Таблица224627910121314572[[#This Row],[Столбец4]]*100-100</f>
        <v>36.487248956646539</v>
      </c>
      <c r="G30" s="91">
        <f>Таблица224627910121314572[[#This Row],[Столбец4]]/$B$6*100</f>
        <v>2.7389903120125645</v>
      </c>
      <c r="H30" s="92">
        <f t="shared" si="0"/>
        <v>3.3305575857824281</v>
      </c>
      <c r="I30" s="128"/>
      <c r="J30" s="128"/>
    </row>
    <row r="31" spans="1:16" s="5" customFormat="1" ht="21" x14ac:dyDescent="0.2">
      <c r="A31" s="95" t="s">
        <v>37</v>
      </c>
      <c r="B31" s="99">
        <v>2340.190783</v>
      </c>
      <c r="C31" s="91">
        <f>252.39+83.637+93.121+1289.541+512.236+769.731</f>
        <v>3000.6559999999999</v>
      </c>
      <c r="D31" s="91">
        <f>252.39+83.637+93.121+1289.541+512.236+769.731</f>
        <v>3000.6559999999999</v>
      </c>
      <c r="E31" s="91">
        <f t="shared" si="1"/>
        <v>660.46521699999994</v>
      </c>
      <c r="F31" s="91">
        <f>Таблица224627910121314572[[#This Row],[Столбец8]]/Таблица224627910121314572[[#This Row],[Столбец4]]*100-100</f>
        <v>28.222708242330498</v>
      </c>
      <c r="G31" s="91">
        <f>Таблица224627910121314572[[#This Row],[Столбец4]]/$B$6*100</f>
        <v>2.5260990419956717</v>
      </c>
      <c r="H31" s="92">
        <f t="shared" si="0"/>
        <v>2.8856901061701801</v>
      </c>
      <c r="I31" s="128"/>
      <c r="J31" s="128"/>
    </row>
    <row r="32" spans="1:16" s="5" customFormat="1" ht="21" x14ac:dyDescent="0.2">
      <c r="A32" s="94" t="s">
        <v>29</v>
      </c>
      <c r="B32" s="86">
        <f>B39+B46+B53+B88</f>
        <v>2134.1984519999996</v>
      </c>
      <c r="C32" s="86">
        <f>C39+C46+C53+C88</f>
        <v>2179.32915</v>
      </c>
      <c r="D32" s="86">
        <f>D39+D46+D53+D88</f>
        <v>2244.1261500000001</v>
      </c>
      <c r="E32" s="86">
        <f t="shared" si="1"/>
        <v>109.92769800000042</v>
      </c>
      <c r="F32" s="86">
        <f>Таблица224627910121314572[[#This Row],[Столбец8]]/Таблица224627910121314572[[#This Row],[Столбец4]]*100-100</f>
        <v>5.1507720801214703</v>
      </c>
      <c r="G32" s="86">
        <f>Таблица224627910121314572[[#This Row],[Столбец4]]/$B$6*100</f>
        <v>2.3037423718568006</v>
      </c>
      <c r="H32" s="87">
        <f t="shared" si="0"/>
        <v>2.1581456281735649</v>
      </c>
      <c r="I32" s="128"/>
      <c r="J32" s="128"/>
    </row>
    <row r="33" spans="1:10" s="5" customFormat="1" ht="21" x14ac:dyDescent="0.2">
      <c r="A33" s="98" t="s">
        <v>12</v>
      </c>
      <c r="B33" s="86">
        <f>B34+B38+B39</f>
        <v>1430.1991439999999</v>
      </c>
      <c r="C33" s="86">
        <f>C34+C38+C39</f>
        <v>1466.8000000000002</v>
      </c>
      <c r="D33" s="86">
        <f>D34+D38+D39</f>
        <v>1475.8000000000002</v>
      </c>
      <c r="E33" s="86">
        <f t="shared" si="1"/>
        <v>45.600856000000249</v>
      </c>
      <c r="F33" s="86">
        <f>Таблица224627910121314572[[#This Row],[Столбец8]]/Таблица224627910121314572[[#This Row],[Столбец4]]*100-100</f>
        <v>3.1884270236984804</v>
      </c>
      <c r="G33" s="86">
        <f>Таблица224627910121314572[[#This Row],[Столбец4]]/$B$6*100</f>
        <v>1.5438163049638116</v>
      </c>
      <c r="H33" s="87">
        <f t="shared" si="0"/>
        <v>1.4192568087398063</v>
      </c>
      <c r="I33" s="128"/>
      <c r="J33" s="128"/>
    </row>
    <row r="34" spans="1:10" s="5" customFormat="1" ht="21" x14ac:dyDescent="0.2">
      <c r="A34" s="100" t="s">
        <v>27</v>
      </c>
      <c r="B34" s="86">
        <f>B35+B36+B37</f>
        <v>1091.4255439999999</v>
      </c>
      <c r="C34" s="86">
        <f>C35+C36+C37</f>
        <v>1165.2</v>
      </c>
      <c r="D34" s="86">
        <f>D35+D36+D37</f>
        <v>1173.2</v>
      </c>
      <c r="E34" s="86">
        <f t="shared" si="1"/>
        <v>81.7744560000001</v>
      </c>
      <c r="F34" s="86">
        <f>Таблица224627910121314572[[#This Row],[Столбец8]]/Таблица224627910121314572[[#This Row],[Столбец4]]*100-100</f>
        <v>7.4924447617656256</v>
      </c>
      <c r="G34" s="86">
        <f>Таблица224627910121314572[[#This Row],[Столбец4]]/$B$6*100</f>
        <v>1.1781300230460761</v>
      </c>
      <c r="H34" s="87">
        <f t="shared" si="0"/>
        <v>1.1282505000769349</v>
      </c>
      <c r="I34" s="128"/>
      <c r="J34" s="128"/>
    </row>
    <row r="35" spans="1:10" s="5" customFormat="1" ht="21" x14ac:dyDescent="0.2">
      <c r="A35" s="95" t="s">
        <v>33</v>
      </c>
      <c r="B35" s="93">
        <v>468.52569799999998</v>
      </c>
      <c r="C35" s="96">
        <v>491.2</v>
      </c>
      <c r="D35" s="96">
        <v>491.2</v>
      </c>
      <c r="E35" s="96">
        <f t="shared" si="1"/>
        <v>22.674302000000012</v>
      </c>
      <c r="F35" s="96">
        <f>Таблица224627910121314572[[#This Row],[Столбец8]]/Таблица224627910121314572[[#This Row],[Столбец4]]*100-100</f>
        <v>4.8395001804148592</v>
      </c>
      <c r="G35" s="96">
        <f>Таблица224627910121314572[[#This Row],[Столбец4]]/$B$6*100</f>
        <v>0.50574608081778483</v>
      </c>
      <c r="H35" s="97">
        <f t="shared" si="0"/>
        <v>0.47238036621018614</v>
      </c>
      <c r="I35" s="128"/>
      <c r="J35" s="128"/>
    </row>
    <row r="36" spans="1:10" s="5" customFormat="1" ht="21" x14ac:dyDescent="0.2">
      <c r="A36" s="95" t="s">
        <v>34</v>
      </c>
      <c r="B36" s="93">
        <v>146</v>
      </c>
      <c r="C36" s="96">
        <v>137.6</v>
      </c>
      <c r="D36" s="96">
        <v>146</v>
      </c>
      <c r="E36" s="96">
        <f t="shared" si="1"/>
        <v>0</v>
      </c>
      <c r="F36" s="96">
        <f>Таблица224627910121314572[[#This Row],[Столбец8]]/Таблица224627910121314572[[#This Row],[Столбец4]]*100-100</f>
        <v>0</v>
      </c>
      <c r="G36" s="96">
        <f>Таблица224627910121314572[[#This Row],[Столбец4]]/$B$6*100</f>
        <v>0.15759845855754234</v>
      </c>
      <c r="H36" s="97">
        <f t="shared" si="0"/>
        <v>0.14040621634097553</v>
      </c>
      <c r="I36" s="128"/>
      <c r="J36" s="128"/>
    </row>
    <row r="37" spans="1:10" s="5" customFormat="1" ht="21" x14ac:dyDescent="0.2">
      <c r="A37" s="95" t="s">
        <v>35</v>
      </c>
      <c r="B37" s="93">
        <f>474.899846+1.9+0.1</f>
        <v>476.89984600000003</v>
      </c>
      <c r="C37" s="96">
        <f>515+23.2-1.8</f>
        <v>536.40000000000009</v>
      </c>
      <c r="D37" s="96">
        <f>515.4+22.4-1.8</f>
        <v>536</v>
      </c>
      <c r="E37" s="96">
        <f t="shared" si="1"/>
        <v>59.100153999999975</v>
      </c>
      <c r="F37" s="96">
        <f>Таблица224627910121314572[[#This Row],[Столбец8]]/Таблица224627910121314572[[#This Row],[Столбец4]]*100-100</f>
        <v>12.392571416347238</v>
      </c>
      <c r="G37" s="96">
        <f>Таблица224627910121314572[[#This Row],[Столбец4]]/$B$6*100</f>
        <v>0.51478548367074872</v>
      </c>
      <c r="H37" s="97">
        <f t="shared" si="0"/>
        <v>0.51546391752577314</v>
      </c>
      <c r="I37" s="128"/>
      <c r="J37" s="128"/>
    </row>
    <row r="38" spans="1:10" s="5" customFormat="1" ht="21" x14ac:dyDescent="0.2">
      <c r="A38" s="100" t="s">
        <v>28</v>
      </c>
      <c r="B38" s="99">
        <f>55.33198+44.93049</f>
        <v>100.26247000000001</v>
      </c>
      <c r="C38" s="91">
        <v>39.9</v>
      </c>
      <c r="D38" s="91">
        <v>39.9</v>
      </c>
      <c r="E38" s="91">
        <f t="shared" si="1"/>
        <v>-60.362470000000009</v>
      </c>
      <c r="F38" s="91">
        <f>Таблица224627910121314572[[#This Row],[Столбец8]]/Таблица224627910121314572[[#This Row],[Столбец4]]*100-100</f>
        <v>-60.204451376472178</v>
      </c>
      <c r="G38" s="91">
        <f>Таблица224627910121314572[[#This Row],[Столбец4]]/$B$6*100</f>
        <v>0.10822747070665638</v>
      </c>
      <c r="H38" s="92">
        <f t="shared" si="0"/>
        <v>3.837128789044468E-2</v>
      </c>
      <c r="I38" s="128"/>
      <c r="J38" s="128"/>
    </row>
    <row r="39" spans="1:10" s="5" customFormat="1" ht="21" x14ac:dyDescent="0.2">
      <c r="A39" s="100" t="s">
        <v>29</v>
      </c>
      <c r="B39" s="99">
        <v>238.51113000000001</v>
      </c>
      <c r="C39" s="91">
        <v>261.7</v>
      </c>
      <c r="D39" s="91">
        <v>262.7</v>
      </c>
      <c r="E39" s="91">
        <f t="shared" si="1"/>
        <v>24.18886999999998</v>
      </c>
      <c r="F39" s="91">
        <f>Таблица224627910121314572[[#This Row],[Столбец8]]/Таблица224627910121314572[[#This Row],[Столбец4]]*100-100</f>
        <v>10.141610582281828</v>
      </c>
      <c r="G39" s="91">
        <f>Таблица224627910121314572[[#This Row],[Столбец4]]/$B$6*100</f>
        <v>0.25745881121107939</v>
      </c>
      <c r="H39" s="92">
        <f t="shared" si="0"/>
        <v>0.2526350207724265</v>
      </c>
      <c r="I39" s="128"/>
      <c r="J39" s="128"/>
    </row>
    <row r="40" spans="1:10" s="5" customFormat="1" ht="42" x14ac:dyDescent="0.2">
      <c r="A40" s="98" t="s">
        <v>30</v>
      </c>
      <c r="B40" s="86">
        <f>SUM(B41,B45,B46)</f>
        <v>2044.8452320000001</v>
      </c>
      <c r="C40" s="86">
        <f>SUM(C41,C45,C46)</f>
        <v>2180.3130000000001</v>
      </c>
      <c r="D40" s="86">
        <f>SUM(D41,D45,D46)</f>
        <v>2251.2599999999998</v>
      </c>
      <c r="E40" s="86">
        <f t="shared" si="1"/>
        <v>206.41476799999964</v>
      </c>
      <c r="F40" s="86">
        <f>Таблица224627910121314572[[#This Row],[Столбец8]]/Таблица224627910121314572[[#This Row],[Столбец4]]*100-100</f>
        <v>10.094395642750527</v>
      </c>
      <c r="G40" s="86">
        <f>Таблица224627910121314572[[#This Row],[Столбец4]]/$B$6*100</f>
        <v>2.2072907983009591</v>
      </c>
      <c r="H40" s="87">
        <f t="shared" si="0"/>
        <v>2.165006154793045</v>
      </c>
      <c r="I40" s="128"/>
      <c r="J40" s="128"/>
    </row>
    <row r="41" spans="1:10" s="5" customFormat="1" ht="21" x14ac:dyDescent="0.2">
      <c r="A41" s="100" t="s">
        <v>27</v>
      </c>
      <c r="B41" s="91">
        <f>B42+B43+B44</f>
        <v>1792.7095610000001</v>
      </c>
      <c r="C41" s="91">
        <f>C42+C43+C44</f>
        <v>1922.2510000000002</v>
      </c>
      <c r="D41" s="91">
        <f>D42+D43+D44</f>
        <v>1963.84</v>
      </c>
      <c r="E41" s="91">
        <f t="shared" si="1"/>
        <v>171.1304389999998</v>
      </c>
      <c r="F41" s="91">
        <f>Таблица224627910121314572[[#This Row],[Столбец8]]/Таблица224627910121314572[[#This Row],[Столбец4]]*100-100</f>
        <v>9.5459098742431365</v>
      </c>
      <c r="G41" s="91">
        <f>Таблица224627910121314572[[#This Row],[Столбец4]]/$B$6*100</f>
        <v>1.935125092157318</v>
      </c>
      <c r="H41" s="92">
        <f t="shared" si="0"/>
        <v>1.8885982458839818</v>
      </c>
      <c r="I41" s="128"/>
      <c r="J41" s="128"/>
    </row>
    <row r="42" spans="1:10" s="5" customFormat="1" ht="21" x14ac:dyDescent="0.2">
      <c r="A42" s="95" t="s">
        <v>33</v>
      </c>
      <c r="B42" s="99">
        <v>888.03150300000004</v>
      </c>
      <c r="C42" s="91">
        <v>905.7</v>
      </c>
      <c r="D42" s="91">
        <v>906.4</v>
      </c>
      <c r="E42" s="91">
        <f t="shared" si="1"/>
        <v>18.368496999999934</v>
      </c>
      <c r="F42" s="91">
        <f>Таблица224627910121314572[[#This Row],[Столбец8]]/Таблица224627910121314572[[#This Row],[Столбец4]]*100-100</f>
        <v>2.0684510558405265</v>
      </c>
      <c r="G42" s="91">
        <f>Таблица224627910121314572[[#This Row],[Столбец4]]/$B$6*100</f>
        <v>0.95857805495436665</v>
      </c>
      <c r="H42" s="92">
        <f t="shared" si="0"/>
        <v>0.87167256501000157</v>
      </c>
      <c r="I42" s="128"/>
      <c r="J42" s="128"/>
    </row>
    <row r="43" spans="1:10" s="6" customFormat="1" ht="21" x14ac:dyDescent="0.2">
      <c r="A43" s="95" t="s">
        <v>34</v>
      </c>
      <c r="B43" s="99">
        <v>94.44</v>
      </c>
      <c r="C43" s="91">
        <v>86.9</v>
      </c>
      <c r="D43" s="99">
        <v>94.44</v>
      </c>
      <c r="E43" s="91">
        <f t="shared" si="1"/>
        <v>0</v>
      </c>
      <c r="F43" s="91">
        <f>Таблица224627910121314572[[#This Row],[Столбец8]]/Таблица224627910121314572[[#This Row],[Столбец4]]*100-100</f>
        <v>0</v>
      </c>
      <c r="G43" s="91">
        <f>Таблица224627910121314572[[#This Row],[Столбец4]]/$B$6*100</f>
        <v>0.10194245497379656</v>
      </c>
      <c r="H43" s="92">
        <f t="shared" si="0"/>
        <v>9.0821664871518687E-2</v>
      </c>
      <c r="I43" s="128"/>
      <c r="J43" s="128"/>
    </row>
    <row r="44" spans="1:10" s="5" customFormat="1" ht="21" x14ac:dyDescent="0.2">
      <c r="A44" s="95" t="s">
        <v>35</v>
      </c>
      <c r="B44" s="99">
        <f>558.174988+252.08307-0.02</f>
        <v>810.23805800000002</v>
      </c>
      <c r="C44" s="91">
        <f>783.692+95.959+50</f>
        <v>929.65100000000007</v>
      </c>
      <c r="D44" s="91">
        <f>137.1+785.9+40</f>
        <v>963</v>
      </c>
      <c r="E44" s="91">
        <f t="shared" si="1"/>
        <v>152.76194199999998</v>
      </c>
      <c r="F44" s="91">
        <f>Таблица224627910121314572[[#This Row],[Столбец8]]/Таблица224627910121314572[[#This Row],[Столбец4]]*100-100</f>
        <v>18.853957857407863</v>
      </c>
      <c r="G44" s="91">
        <f>Таблица224627910121314572[[#This Row],[Столбец4]]/$B$6*100</f>
        <v>0.8746045822291546</v>
      </c>
      <c r="H44" s="92">
        <f t="shared" si="0"/>
        <v>0.92610401600246184</v>
      </c>
      <c r="I44" s="128"/>
      <c r="J44" s="128"/>
    </row>
    <row r="45" spans="1:10" s="5" customFormat="1" ht="21" x14ac:dyDescent="0.2">
      <c r="A45" s="100" t="s">
        <v>28</v>
      </c>
      <c r="B45" s="99">
        <f>22.77+9.68726</f>
        <v>32.457259999999998</v>
      </c>
      <c r="C45" s="91">
        <v>28.495000000000001</v>
      </c>
      <c r="D45" s="91">
        <v>45.12</v>
      </c>
      <c r="E45" s="91">
        <f t="shared" si="1"/>
        <v>12.662739999999999</v>
      </c>
      <c r="F45" s="91">
        <f>Таблица224627910121314572[[#This Row],[Столбец8]]/Таблица224627910121314572[[#This Row],[Столбец4]]*100-100</f>
        <v>39.013582785484658</v>
      </c>
      <c r="G45" s="91">
        <f>Таблица224627910121314572[[#This Row],[Столбец4]]/$B$6*100</f>
        <v>3.5035713321927231E-2</v>
      </c>
      <c r="H45" s="92">
        <f t="shared" si="0"/>
        <v>4.3391290967841202E-2</v>
      </c>
      <c r="I45" s="128"/>
      <c r="J45" s="128"/>
    </row>
    <row r="46" spans="1:10" s="5" customFormat="1" ht="21" x14ac:dyDescent="0.2">
      <c r="A46" s="100" t="s">
        <v>29</v>
      </c>
      <c r="B46" s="99">
        <f>0.685501+218.99291</f>
        <v>219.67841099999998</v>
      </c>
      <c r="C46" s="91">
        <v>229.56700000000001</v>
      </c>
      <c r="D46" s="91">
        <v>242.3</v>
      </c>
      <c r="E46" s="91">
        <f t="shared" si="1"/>
        <v>22.621589000000029</v>
      </c>
      <c r="F46" s="91">
        <f>Таблица224627910121314572[[#This Row],[Столбец8]]/Таблица224627910121314572[[#This Row],[Столбец4]]*100-100</f>
        <v>10.297593148559343</v>
      </c>
      <c r="G46" s="91">
        <f>Таблица224627910121314572[[#This Row],[Столбец4]]/$B$6*100</f>
        <v>0.23712999282171401</v>
      </c>
      <c r="H46" s="92">
        <f t="shared" si="0"/>
        <v>0.23301661794122175</v>
      </c>
      <c r="I46" s="128"/>
      <c r="J46" s="128"/>
    </row>
    <row r="47" spans="1:10" s="5" customFormat="1" ht="21" x14ac:dyDescent="0.2">
      <c r="A47" s="85" t="s">
        <v>31</v>
      </c>
      <c r="B47" s="86">
        <f>SUM(B54,B61,B68,B75)</f>
        <v>13164.208933999998</v>
      </c>
      <c r="C47" s="86">
        <f>SUM(C54,C61,C68,C75)</f>
        <v>13524.071250000001</v>
      </c>
      <c r="D47" s="86">
        <f>SUM(D54,D61,D68,D75)</f>
        <v>13653.348249999999</v>
      </c>
      <c r="E47" s="86">
        <f t="shared" si="1"/>
        <v>489.13931600000069</v>
      </c>
      <c r="F47" s="86">
        <f>Таблица224627910121314572[[#This Row],[Столбец8]]/Таблица224627910121314572[[#This Row],[Столбец4]]*100-100</f>
        <v>3.7156757269072926</v>
      </c>
      <c r="G47" s="86">
        <f>Таблица224627910121314572[[#This Row],[Столбец4]]/$B$6*100</f>
        <v>14.209993398135804</v>
      </c>
      <c r="H47" s="87">
        <f t="shared" si="0"/>
        <v>13.130239508001228</v>
      </c>
      <c r="I47" s="128"/>
      <c r="J47" s="128"/>
    </row>
    <row r="48" spans="1:10" s="5" customFormat="1" ht="21" x14ac:dyDescent="0.2">
      <c r="A48" s="100" t="s">
        <v>27</v>
      </c>
      <c r="B48" s="91">
        <f t="shared" ref="B48:D53" si="3">B55+B62+B69+B76</f>
        <v>10901.553900999999</v>
      </c>
      <c r="C48" s="91">
        <f t="shared" si="3"/>
        <v>10971.87125</v>
      </c>
      <c r="D48" s="91">
        <f t="shared" si="3"/>
        <v>11004.202249999998</v>
      </c>
      <c r="E48" s="91">
        <f t="shared" si="1"/>
        <v>102.64834899999914</v>
      </c>
      <c r="F48" s="91">
        <f>Таблица224627910121314572[[#This Row],[Столбец8]]/Таблица224627910121314572[[#This Row],[Столбец4]]*100-100</f>
        <v>0.94159373913275601</v>
      </c>
      <c r="G48" s="91">
        <f>Таблица224627910121314572[[#This Row],[Столбец4]]/$B$6*100</f>
        <v>11.767589662188783</v>
      </c>
      <c r="H48" s="92">
        <f t="shared" si="0"/>
        <v>10.582591792968147</v>
      </c>
      <c r="I48" s="128"/>
      <c r="J48" s="128"/>
    </row>
    <row r="49" spans="1:10" s="5" customFormat="1" ht="21" x14ac:dyDescent="0.2">
      <c r="A49" s="95" t="s">
        <v>33</v>
      </c>
      <c r="B49" s="96">
        <f t="shared" si="3"/>
        <v>4483.6791969999995</v>
      </c>
      <c r="C49" s="96">
        <f t="shared" si="3"/>
        <v>4498.5999999999995</v>
      </c>
      <c r="D49" s="96">
        <f t="shared" si="3"/>
        <v>4500.5999999999995</v>
      </c>
      <c r="E49" s="96">
        <f t="shared" si="1"/>
        <v>16.920802999999978</v>
      </c>
      <c r="F49" s="96">
        <f>Таблица224627910121314572[[#This Row],[Столбец8]]/Таблица224627910121314572[[#This Row],[Столбец4]]*100-100</f>
        <v>0.3773865670702321</v>
      </c>
      <c r="G49" s="96">
        <f>Таблица224627910121314572[[#This Row],[Столбец4]]/$B$6*100</f>
        <v>4.8398693843405418</v>
      </c>
      <c r="H49" s="97">
        <f t="shared" si="0"/>
        <v>4.3281658716725646</v>
      </c>
      <c r="I49" s="128"/>
      <c r="J49" s="128"/>
    </row>
    <row r="50" spans="1:10" s="5" customFormat="1" ht="21" x14ac:dyDescent="0.2">
      <c r="A50" s="95" t="s">
        <v>34</v>
      </c>
      <c r="B50" s="96">
        <f t="shared" si="3"/>
        <v>647.90800000000002</v>
      </c>
      <c r="C50" s="96">
        <f t="shared" si="3"/>
        <v>637.67700000000002</v>
      </c>
      <c r="D50" s="96">
        <f t="shared" si="3"/>
        <v>647.90800000000002</v>
      </c>
      <c r="E50" s="96">
        <f t="shared" si="1"/>
        <v>0</v>
      </c>
      <c r="F50" s="96">
        <f>Таблица224627910121314572[[#This Row],[Столбец8]]/Таблица224627910121314572[[#This Row],[Столбец4]]*100-100</f>
        <v>0</v>
      </c>
      <c r="G50" s="96">
        <f>Таблица224627910121314572[[#This Row],[Столбец4]]/$B$6*100</f>
        <v>0.69937878141849408</v>
      </c>
      <c r="H50" s="97">
        <f t="shared" si="0"/>
        <v>0.62308432066471764</v>
      </c>
      <c r="I50" s="128"/>
      <c r="J50" s="128"/>
    </row>
    <row r="51" spans="1:10" s="5" customFormat="1" ht="21" x14ac:dyDescent="0.2">
      <c r="A51" s="95" t="s">
        <v>35</v>
      </c>
      <c r="B51" s="96">
        <f t="shared" si="3"/>
        <v>5769.9667040000004</v>
      </c>
      <c r="C51" s="96">
        <f t="shared" si="3"/>
        <v>5835.5942500000001</v>
      </c>
      <c r="D51" s="96">
        <f t="shared" si="3"/>
        <v>5855.6942499999996</v>
      </c>
      <c r="E51" s="96">
        <f t="shared" si="1"/>
        <v>85.727545999999165</v>
      </c>
      <c r="F51" s="96">
        <f>Таблица224627910121314572[[#This Row],[Столбец8]]/Таблица224627910121314572[[#This Row],[Столбец4]]*100-100</f>
        <v>1.4857546047981458</v>
      </c>
      <c r="G51" s="96">
        <f>Таблица224627910121314572[[#This Row],[Столбец4]]/$B$6*100</f>
        <v>6.2283414964297474</v>
      </c>
      <c r="H51" s="97">
        <f t="shared" si="0"/>
        <v>5.6313416006308659</v>
      </c>
      <c r="I51" s="128"/>
      <c r="J51" s="128"/>
    </row>
    <row r="52" spans="1:10" s="5" customFormat="1" ht="21" x14ac:dyDescent="0.2">
      <c r="A52" s="100" t="s">
        <v>28</v>
      </c>
      <c r="B52" s="91">
        <f t="shared" si="3"/>
        <v>749.15507700000001</v>
      </c>
      <c r="C52" s="91">
        <f t="shared" si="3"/>
        <v>1028.0999999999999</v>
      </c>
      <c r="D52" s="91">
        <f t="shared" si="3"/>
        <v>1084.646</v>
      </c>
      <c r="E52" s="91">
        <f t="shared" si="1"/>
        <v>335.49092299999995</v>
      </c>
      <c r="F52" s="91">
        <f>Таблица224627910121314572[[#This Row],[Столбец8]]/Таблица224627910121314572[[#This Row],[Столбец4]]*100-100</f>
        <v>44.782573501801153</v>
      </c>
      <c r="G52" s="91">
        <f>Таблица224627910121314572[[#This Row],[Столбец4]]/$B$6*100</f>
        <v>0.80866907777915709</v>
      </c>
      <c r="H52" s="92">
        <f t="shared" si="0"/>
        <v>1.0430893214340666</v>
      </c>
      <c r="I52" s="128"/>
      <c r="J52" s="128"/>
    </row>
    <row r="53" spans="1:10" s="5" customFormat="1" ht="21" x14ac:dyDescent="0.2">
      <c r="A53" s="100" t="s">
        <v>29</v>
      </c>
      <c r="B53" s="91">
        <f t="shared" si="3"/>
        <v>1513.4999559999999</v>
      </c>
      <c r="C53" s="91">
        <f t="shared" si="3"/>
        <v>1524.1</v>
      </c>
      <c r="D53" s="91">
        <f t="shared" si="3"/>
        <v>1564.4999999999998</v>
      </c>
      <c r="E53" s="91">
        <f t="shared" si="1"/>
        <v>51.000043999999889</v>
      </c>
      <c r="F53" s="91">
        <f>Таблица224627910121314572[[#This Row],[Столбец8]]/Таблица224627910121314572[[#This Row],[Столбец4]]*100-100</f>
        <v>3.3696759486393972</v>
      </c>
      <c r="G53" s="91">
        <f>Таблица224627910121314572[[#This Row],[Столбец4]]/$B$6*100</f>
        <v>1.6337346581678638</v>
      </c>
      <c r="H53" s="92">
        <f t="shared" si="0"/>
        <v>1.504558393599015</v>
      </c>
      <c r="I53" s="128"/>
      <c r="J53" s="128"/>
    </row>
    <row r="54" spans="1:10" s="5" customFormat="1" ht="39.75" customHeight="1" x14ac:dyDescent="0.2">
      <c r="A54" s="98" t="s">
        <v>2</v>
      </c>
      <c r="B54" s="86">
        <f>SUM(B55,B59,B60)</f>
        <v>5597.0678219999991</v>
      </c>
      <c r="C54" s="86">
        <f>SUM(C55,C59,C60)</f>
        <v>5688.9000000000005</v>
      </c>
      <c r="D54" s="86">
        <f>SUM(D55,D59,D60)</f>
        <v>5741.2</v>
      </c>
      <c r="E54" s="86">
        <f t="shared" si="1"/>
        <v>144.13217800000075</v>
      </c>
      <c r="F54" s="86">
        <f>Таблица224627910121314572[[#This Row],[Столбец8]]/Таблица224627910121314572[[#This Row],[Столбец4]]*100-100</f>
        <v>2.5751372429948134</v>
      </c>
      <c r="G54" s="86">
        <f>Таблица224627910121314572[[#This Row],[Столбец4]]/$B$6*100</f>
        <v>6.0417072684193194</v>
      </c>
      <c r="H54" s="87">
        <f t="shared" si="0"/>
        <v>5.5212340360055396</v>
      </c>
      <c r="I54" s="128"/>
      <c r="J54" s="128"/>
    </row>
    <row r="55" spans="1:10" s="5" customFormat="1" ht="21" x14ac:dyDescent="0.2">
      <c r="A55" s="100" t="s">
        <v>27</v>
      </c>
      <c r="B55" s="99">
        <f>B56+B57+B58</f>
        <v>4260.8466479999997</v>
      </c>
      <c r="C55" s="99">
        <f>C56+C57+C58</f>
        <v>4287.3</v>
      </c>
      <c r="D55" s="99">
        <f>D56+D57+D58</f>
        <v>4295.8329999999996</v>
      </c>
      <c r="E55" s="91">
        <f t="shared" si="1"/>
        <v>34.986351999999897</v>
      </c>
      <c r="F55" s="91">
        <f>Таблица224627910121314572[[#This Row],[Столбец8]]/Таблица224627910121314572[[#This Row],[Столбец4]]*100-100</f>
        <v>0.8211126776041624</v>
      </c>
      <c r="G55" s="91">
        <f>Таблица224627910121314572[[#This Row],[Столбец4]]/$B$6*100</f>
        <v>4.59933468407446</v>
      </c>
      <c r="H55" s="92">
        <f t="shared" si="0"/>
        <v>4.1312442298815197</v>
      </c>
      <c r="I55" s="128"/>
      <c r="J55" s="128"/>
    </row>
    <row r="56" spans="1:10" s="5" customFormat="1" ht="21" x14ac:dyDescent="0.2">
      <c r="A56" s="95" t="s">
        <v>33</v>
      </c>
      <c r="B56" s="99">
        <v>2927.4285989999998</v>
      </c>
      <c r="C56" s="96">
        <v>2942.4</v>
      </c>
      <c r="D56" s="96">
        <v>2942.4</v>
      </c>
      <c r="E56" s="96">
        <f t="shared" si="1"/>
        <v>14.971401000000242</v>
      </c>
      <c r="F56" s="96">
        <f>Таблица224627910121314572[[#This Row],[Столбец8]]/Таблица224627910121314572[[#This Row],[Столбец4]]*100-100</f>
        <v>0.51141814372908811</v>
      </c>
      <c r="G56" s="96">
        <f>Таблица224627910121314572[[#This Row],[Столбец4]]/$B$6*100</f>
        <v>3.1599879091757925</v>
      </c>
      <c r="H56" s="97">
        <f t="shared" si="0"/>
        <v>2.829666102477304</v>
      </c>
      <c r="I56" s="128"/>
      <c r="J56" s="128"/>
    </row>
    <row r="57" spans="1:10" s="5" customFormat="1" ht="21" x14ac:dyDescent="0.2">
      <c r="A57" s="95" t="s">
        <v>34</v>
      </c>
      <c r="B57" s="99">
        <v>325.63299999999998</v>
      </c>
      <c r="C57" s="96">
        <f>317.1</f>
        <v>317.10000000000002</v>
      </c>
      <c r="D57" s="99">
        <v>325.63299999999998</v>
      </c>
      <c r="E57" s="96">
        <f t="shared" si="1"/>
        <v>0</v>
      </c>
      <c r="F57" s="96">
        <f>Таблица224627910121314572[[#This Row],[Столбец8]]/Таблица224627910121314572[[#This Row],[Столбец4]]*100-100</f>
        <v>0</v>
      </c>
      <c r="G57" s="96">
        <f>Таблица224627910121314572[[#This Row],[Столбец4]]/$B$6*100</f>
        <v>0.35150177298265878</v>
      </c>
      <c r="H57" s="97">
        <f t="shared" si="0"/>
        <v>0.31315683182028003</v>
      </c>
      <c r="I57" s="128"/>
      <c r="J57" s="128"/>
    </row>
    <row r="58" spans="1:10" s="5" customFormat="1" ht="21" x14ac:dyDescent="0.2">
      <c r="A58" s="95" t="s">
        <v>35</v>
      </c>
      <c r="B58" s="93">
        <f>1006.885049+0.9</f>
        <v>1007.785049</v>
      </c>
      <c r="C58" s="96">
        <f>943.8+64+20</f>
        <v>1027.8</v>
      </c>
      <c r="D58" s="96">
        <f>1007.8+20</f>
        <v>1027.8</v>
      </c>
      <c r="E58" s="96">
        <f t="shared" si="1"/>
        <v>20.014950999999996</v>
      </c>
      <c r="F58" s="96">
        <f>Таблица224627910121314572[[#This Row],[Столбец8]]/Таблица224627910121314572[[#This Row],[Столбец4]]*100-100</f>
        <v>1.9860337300955564</v>
      </c>
      <c r="G58" s="96">
        <f>Таблица224627910121314572[[#This Row],[Столбец4]]/$B$6*100</f>
        <v>1.0878450019160086</v>
      </c>
      <c r="H58" s="97">
        <f t="shared" si="0"/>
        <v>0.98842129558393588</v>
      </c>
      <c r="I58" s="128"/>
      <c r="J58" s="128"/>
    </row>
    <row r="59" spans="1:10" s="5" customFormat="1" ht="21" x14ac:dyDescent="0.2">
      <c r="A59" s="100" t="s">
        <v>28</v>
      </c>
      <c r="B59" s="88">
        <f>230.667877+88.3223</f>
        <v>318.99017700000002</v>
      </c>
      <c r="C59" s="96">
        <v>383.6</v>
      </c>
      <c r="D59" s="96">
        <f>144.477+252.39</f>
        <v>396.86699999999996</v>
      </c>
      <c r="E59" s="96">
        <f t="shared" si="1"/>
        <v>77.876822999999945</v>
      </c>
      <c r="F59" s="91">
        <f>Таблица224627910121314572[[#This Row],[Столбец8]]/Таблица224627910121314572[[#This Row],[Столбец4]]*100-100</f>
        <v>24.413548947621649</v>
      </c>
      <c r="G59" s="91">
        <f>Таблица224627910121314572[[#This Row],[Столбец4]]/$B$6*100</f>
        <v>0.34433123417943556</v>
      </c>
      <c r="H59" s="92">
        <f t="shared" si="0"/>
        <v>0.38166160178488995</v>
      </c>
      <c r="I59" s="128"/>
      <c r="J59" s="128"/>
    </row>
    <row r="60" spans="1:10" s="5" customFormat="1" ht="21" x14ac:dyDescent="0.2">
      <c r="A60" s="100" t="s">
        <v>29</v>
      </c>
      <c r="B60" s="99">
        <v>1017.230997</v>
      </c>
      <c r="C60" s="91">
        <v>1018</v>
      </c>
      <c r="D60" s="91">
        <v>1048.5</v>
      </c>
      <c r="E60" s="91">
        <f t="shared" si="1"/>
        <v>31.269002999999998</v>
      </c>
      <c r="F60" s="91">
        <f>Таблица224627910121314572[[#This Row],[Столбец8]]/Таблица224627910121314572[[#This Row],[Столбец4]]*100-100</f>
        <v>3.0739333634364243</v>
      </c>
      <c r="G60" s="91">
        <f>Таблица224627910121314572[[#This Row],[Столбец4]]/$B$6*100</f>
        <v>1.0980413501654245</v>
      </c>
      <c r="H60" s="92">
        <f t="shared" si="0"/>
        <v>1.0083282043391291</v>
      </c>
      <c r="I60" s="128"/>
      <c r="J60" s="128"/>
    </row>
    <row r="61" spans="1:10" s="5" customFormat="1" ht="40.5" customHeight="1" x14ac:dyDescent="0.2">
      <c r="A61" s="98" t="s">
        <v>47</v>
      </c>
      <c r="B61" s="86">
        <f>SUM(B62,B66,B67)</f>
        <v>2350.3691039999994</v>
      </c>
      <c r="C61" s="86">
        <f>SUM(C62,C66,C67)</f>
        <v>2476.4</v>
      </c>
      <c r="D61" s="86">
        <f>SUM(D62,D66,D67)</f>
        <v>2486.6089999999999</v>
      </c>
      <c r="E61" s="86">
        <f t="shared" si="1"/>
        <v>136.2398960000005</v>
      </c>
      <c r="F61" s="86">
        <f>Таблица224627910121314572[[#This Row],[Столбец8]]/Таблица224627910121314572[[#This Row],[Столбец4]]*100-100</f>
        <v>5.7965319476051462</v>
      </c>
      <c r="G61" s="86">
        <f>Таблица224627910121314572[[#This Row],[Столбец4]]/$B$6*100</f>
        <v>2.5370859440525466</v>
      </c>
      <c r="H61" s="87">
        <f t="shared" si="0"/>
        <v>2.391338090475458</v>
      </c>
      <c r="I61" s="128"/>
      <c r="J61" s="128"/>
    </row>
    <row r="62" spans="1:10" s="6" customFormat="1" ht="21" x14ac:dyDescent="0.2">
      <c r="A62" s="100" t="s">
        <v>27</v>
      </c>
      <c r="B62" s="99">
        <f>B63+B64+B65</f>
        <v>1788.1457369999998</v>
      </c>
      <c r="C62" s="91">
        <f>SUM(C63:C65)</f>
        <v>1808.2</v>
      </c>
      <c r="D62" s="91">
        <f>SUM(D63:D65)</f>
        <v>1805.057</v>
      </c>
      <c r="E62" s="91">
        <f t="shared" si="1"/>
        <v>16.91126300000019</v>
      </c>
      <c r="F62" s="91">
        <f>Таблица224627910121314572[[#This Row],[Столбец8]]/Таблица224627910121314572[[#This Row],[Столбец4]]*100-100</f>
        <v>0.94574299231182124</v>
      </c>
      <c r="G62" s="91">
        <f>Таблица224627910121314572[[#This Row],[Столбец4]]/$B$6*100</f>
        <v>1.9301987111468526</v>
      </c>
      <c r="H62" s="92">
        <f t="shared" si="0"/>
        <v>1.7358987921218649</v>
      </c>
      <c r="I62" s="128"/>
      <c r="J62" s="128"/>
    </row>
    <row r="63" spans="1:10" s="5" customFormat="1" ht="21" x14ac:dyDescent="0.2">
      <c r="A63" s="95" t="s">
        <v>33</v>
      </c>
      <c r="B63" s="99">
        <v>1282.9782889999999</v>
      </c>
      <c r="C63" s="91">
        <v>1283</v>
      </c>
      <c r="D63" s="91">
        <v>1283</v>
      </c>
      <c r="E63" s="91">
        <f t="shared" si="1"/>
        <v>2.1711000000095737E-2</v>
      </c>
      <c r="F63" s="91">
        <f>Таблица224627910121314572[[#This Row],[Столбец8]]/Таблица224627910121314572[[#This Row],[Столбец4]]*100-100</f>
        <v>1.6922344038334813E-3</v>
      </c>
      <c r="G63" s="91">
        <f>Таблица224627910121314572[[#This Row],[Столбец4]]/$B$6*100</f>
        <v>1.3849000048574867</v>
      </c>
      <c r="H63" s="92">
        <f t="shared" si="0"/>
        <v>1.2338436682566547</v>
      </c>
      <c r="I63" s="128"/>
      <c r="J63" s="128"/>
    </row>
    <row r="64" spans="1:10" s="5" customFormat="1" ht="21" x14ac:dyDescent="0.2">
      <c r="A64" s="95" t="s">
        <v>34</v>
      </c>
      <c r="B64" s="99">
        <v>41.057000000000002</v>
      </c>
      <c r="C64" s="91">
        <v>43.4</v>
      </c>
      <c r="D64" s="99">
        <v>41.057000000000002</v>
      </c>
      <c r="E64" s="91">
        <f t="shared" si="1"/>
        <v>0</v>
      </c>
      <c r="F64" s="91">
        <f>Таблица224627910121314572[[#This Row],[Столбец8]]/Таблица224627910121314572[[#This Row],[Столбец4]]*100-100</f>
        <v>0</v>
      </c>
      <c r="G64" s="91">
        <f>Таблица224627910121314572[[#This Row],[Столбец4]]/$B$6*100</f>
        <v>4.4318629541075447E-2</v>
      </c>
      <c r="H64" s="92">
        <f t="shared" si="0"/>
        <v>3.9483959070626254E-2</v>
      </c>
      <c r="I64" s="128"/>
      <c r="J64" s="128"/>
    </row>
    <row r="65" spans="1:10" s="5" customFormat="1" ht="21" x14ac:dyDescent="0.2">
      <c r="A65" s="95" t="s">
        <v>35</v>
      </c>
      <c r="B65" s="93">
        <v>464.11044800000002</v>
      </c>
      <c r="C65" s="96">
        <f>418.5+63.3</f>
        <v>481.8</v>
      </c>
      <c r="D65" s="96">
        <v>481</v>
      </c>
      <c r="E65" s="96">
        <f t="shared" si="1"/>
        <v>16.889551999999981</v>
      </c>
      <c r="F65" s="96">
        <f>Таблица224627910121314572[[#This Row],[Столбец8]]/Таблица224627910121314572[[#This Row],[Столбец4]]*100-100</f>
        <v>3.6391234183118257</v>
      </c>
      <c r="G65" s="96">
        <f>Таблица224627910121314572[[#This Row],[Столбец4]]/$B$6*100</f>
        <v>0.50098007674829048</v>
      </c>
      <c r="H65" s="97">
        <f t="shared" si="0"/>
        <v>0.46257116479458377</v>
      </c>
      <c r="I65" s="128"/>
      <c r="J65" s="128"/>
    </row>
    <row r="66" spans="1:10" s="5" customFormat="1" ht="21" x14ac:dyDescent="0.2">
      <c r="A66" s="100" t="s">
        <v>28</v>
      </c>
      <c r="B66" s="99">
        <f>18.0158+263.82587</f>
        <v>281.84167000000002</v>
      </c>
      <c r="C66" s="91">
        <v>379.1</v>
      </c>
      <c r="D66" s="91">
        <f>308.815+83.637</f>
        <v>392.452</v>
      </c>
      <c r="E66" s="91">
        <f t="shared" si="1"/>
        <v>110.61032999999998</v>
      </c>
      <c r="F66" s="91">
        <f>Таблица224627910121314572[[#This Row],[Столбец8]]/Таблица224627910121314572[[#This Row],[Столбец4]]*100-100</f>
        <v>39.245555847011559</v>
      </c>
      <c r="G66" s="91">
        <f>Таблица224627910121314572[[#This Row],[Столбец4]]/$B$6*100</f>
        <v>0.30423159417317486</v>
      </c>
      <c r="H66" s="92">
        <f t="shared" si="0"/>
        <v>0.37741575627019541</v>
      </c>
      <c r="I66" s="128"/>
      <c r="J66" s="128"/>
    </row>
    <row r="67" spans="1:10" s="5" customFormat="1" ht="21" x14ac:dyDescent="0.2">
      <c r="A67" s="100" t="s">
        <v>29</v>
      </c>
      <c r="B67" s="99">
        <v>280.38169699999997</v>
      </c>
      <c r="C67" s="91">
        <v>289.10000000000002</v>
      </c>
      <c r="D67" s="91">
        <v>289.10000000000002</v>
      </c>
      <c r="E67" s="91">
        <f t="shared" si="1"/>
        <v>8.7183030000000485</v>
      </c>
      <c r="F67" s="91">
        <f>Таблица224627910121314572[[#This Row],[Столбец8]]/Таблица224627910121314572[[#This Row],[Столбец4]]*100-100</f>
        <v>3.1094408419962036</v>
      </c>
      <c r="G67" s="91">
        <f>Таблица224627910121314572[[#This Row],[Столбец4]]/$B$6*100</f>
        <v>0.30265563873251977</v>
      </c>
      <c r="H67" s="92">
        <f t="shared" si="0"/>
        <v>0.27802354208339747</v>
      </c>
      <c r="I67" s="128"/>
      <c r="J67" s="128"/>
    </row>
    <row r="68" spans="1:10" s="5" customFormat="1" ht="21" x14ac:dyDescent="0.2">
      <c r="A68" s="98" t="s">
        <v>3</v>
      </c>
      <c r="B68" s="86">
        <f>SUM(B69,B73,B74)</f>
        <v>4174.3025230000003</v>
      </c>
      <c r="C68" s="86">
        <f>SUM(C69,C73,C74)</f>
        <v>4170.5942500000001</v>
      </c>
      <c r="D68" s="86">
        <f>SUM(D69,D73,D74)</f>
        <v>4198.5352499999999</v>
      </c>
      <c r="E68" s="86">
        <f t="shared" si="1"/>
        <v>24.232726999999613</v>
      </c>
      <c r="F68" s="86">
        <f>Таблица224627910121314572[[#This Row],[Столбец8]]/Таблица224627910121314572[[#This Row],[Столбец4]]*100-100</f>
        <v>0.58052158094628226</v>
      </c>
      <c r="G68" s="86">
        <f>Таблица224627910121314572[[#This Row],[Столбец4]]/$B$6*100</f>
        <v>4.5059153642305478</v>
      </c>
      <c r="H68" s="87">
        <f t="shared" si="0"/>
        <v>4.0376743056624091</v>
      </c>
      <c r="I68" s="128"/>
      <c r="J68" s="128"/>
    </row>
    <row r="69" spans="1:10" s="5" customFormat="1" ht="21" x14ac:dyDescent="0.2">
      <c r="A69" s="100" t="s">
        <v>27</v>
      </c>
      <c r="B69" s="99">
        <f>B70+B71+B72</f>
        <v>3997.7433059999998</v>
      </c>
      <c r="C69" s="99">
        <f>C70+C71+C72</f>
        <v>3993.69425</v>
      </c>
      <c r="D69" s="99">
        <f>D70+D71+D72</f>
        <v>4011.7352500000002</v>
      </c>
      <c r="E69" s="91">
        <f t="shared" si="1"/>
        <v>13.991944000000331</v>
      </c>
      <c r="F69" s="91">
        <f>Таблица224627910121314572[[#This Row],[Столбец8]]/Таблица224627910121314572[[#This Row],[Столбец4]]*100-100</f>
        <v>0.34999605850131843</v>
      </c>
      <c r="G69" s="91">
        <f>Таблица224627910121314572[[#This Row],[Столбец4]]/$B$6*100</f>
        <v>4.3153300187283099</v>
      </c>
      <c r="H69" s="92">
        <f t="shared" si="0"/>
        <v>3.8580312836590247</v>
      </c>
      <c r="I69" s="128"/>
      <c r="J69" s="128"/>
    </row>
    <row r="70" spans="1:10" s="5" customFormat="1" ht="21" x14ac:dyDescent="0.2">
      <c r="A70" s="95" t="s">
        <v>33</v>
      </c>
      <c r="B70" s="99">
        <v>76.008055999999996</v>
      </c>
      <c r="C70" s="91">
        <v>76</v>
      </c>
      <c r="D70" s="91">
        <v>76</v>
      </c>
      <c r="E70" s="91">
        <f t="shared" si="1"/>
        <v>-8.0559999999962884E-3</v>
      </c>
      <c r="F70" s="91">
        <f>Таблица224627910121314572[[#This Row],[Столбец8]]/Таблица224627910121314572[[#This Row],[Столбец4]]*100-100</f>
        <v>-1.0598876519082978E-2</v>
      </c>
      <c r="G70" s="91">
        <f>Таблица224627910121314572[[#This Row],[Столбец4]]/$B$6*100</f>
        <v>8.2046249750379149E-2</v>
      </c>
      <c r="H70" s="92">
        <f t="shared" si="0"/>
        <v>7.308816741037083E-2</v>
      </c>
      <c r="I70" s="128"/>
      <c r="J70" s="128"/>
    </row>
    <row r="71" spans="1:10" s="5" customFormat="1" ht="21" x14ac:dyDescent="0.2">
      <c r="A71" s="95" t="s">
        <v>34</v>
      </c>
      <c r="B71" s="99">
        <v>24.041</v>
      </c>
      <c r="C71" s="91">
        <v>20</v>
      </c>
      <c r="D71" s="99">
        <v>24.041</v>
      </c>
      <c r="E71" s="91">
        <f t="shared" si="1"/>
        <v>0</v>
      </c>
      <c r="F71" s="91">
        <f>Таблица224627910121314572[[#This Row],[Столбец8]]/Таблица224627910121314572[[#This Row],[Столбец4]]*100-100</f>
        <v>0</v>
      </c>
      <c r="G71" s="91">
        <f>Таблица224627910121314572[[#This Row],[Столбец4]]/$B$6*100</f>
        <v>2.5950853028642983E-2</v>
      </c>
      <c r="H71" s="92">
        <f t="shared" si="0"/>
        <v>2.3119903062009541E-2</v>
      </c>
      <c r="I71" s="128"/>
      <c r="J71" s="128"/>
    </row>
    <row r="72" spans="1:10" s="5" customFormat="1" ht="21" x14ac:dyDescent="0.2">
      <c r="A72" s="95" t="s">
        <v>35</v>
      </c>
      <c r="B72" s="93">
        <f>3906.59425+0.1-9</f>
        <v>3897.69425</v>
      </c>
      <c r="C72" s="93">
        <f>3906.59425+0.1-9</f>
        <v>3897.69425</v>
      </c>
      <c r="D72" s="93">
        <f>3906.59425+0.1-9+14</f>
        <v>3911.69425</v>
      </c>
      <c r="E72" s="96">
        <f t="shared" si="1"/>
        <v>14</v>
      </c>
      <c r="F72" s="96">
        <f>Таблица224627910121314572[[#This Row],[Столбец8]]/Таблица224627910121314572[[#This Row],[Столбец4]]*100-100</f>
        <v>0.35918671660814994</v>
      </c>
      <c r="G72" s="96">
        <f>Таблица224627910121314572[[#This Row],[Столбец4]]/$B$6*100</f>
        <v>4.207332915949288</v>
      </c>
      <c r="H72" s="97">
        <f t="shared" si="0"/>
        <v>3.7618232131866445</v>
      </c>
      <c r="I72" s="128"/>
      <c r="J72" s="128"/>
    </row>
    <row r="73" spans="1:10" s="5" customFormat="1" ht="21" hidden="1" x14ac:dyDescent="0.2">
      <c r="A73" s="100" t="s">
        <v>28</v>
      </c>
      <c r="B73" s="99"/>
      <c r="C73" s="91"/>
      <c r="D73" s="91"/>
      <c r="E73" s="91">
        <f t="shared" si="1"/>
        <v>0</v>
      </c>
      <c r="F73" s="91" t="e">
        <f>Таблица224627910121314572[[#This Row],[Столбец8]]/Таблица224627910121314572[[#This Row],[Столбец4]]*100-100</f>
        <v>#DIV/0!</v>
      </c>
      <c r="G73" s="91">
        <f>Таблица224627910121314572[[#This Row],[Столбец4]]/$B$6*100</f>
        <v>0</v>
      </c>
      <c r="H73" s="92">
        <f t="shared" si="0"/>
        <v>0</v>
      </c>
      <c r="I73" s="128"/>
      <c r="J73" s="128"/>
    </row>
    <row r="74" spans="1:10" s="5" customFormat="1" ht="21" x14ac:dyDescent="0.2">
      <c r="A74" s="100" t="s">
        <v>29</v>
      </c>
      <c r="B74" s="99">
        <v>176.55921699999999</v>
      </c>
      <c r="C74" s="91">
        <v>176.9</v>
      </c>
      <c r="D74" s="91">
        <v>186.8</v>
      </c>
      <c r="E74" s="91">
        <f t="shared" si="1"/>
        <v>10.240783000000022</v>
      </c>
      <c r="F74" s="91">
        <f>Таблица224627910121314572[[#This Row],[Столбец8]]/Таблица224627910121314572[[#This Row],[Столбец4]]*100-100</f>
        <v>5.8001973354922569</v>
      </c>
      <c r="G74" s="91">
        <f>Таблица224627910121314572[[#This Row],[Столбец4]]/$B$6*100</f>
        <v>0.19058534550223713</v>
      </c>
      <c r="H74" s="92">
        <f t="shared" si="0"/>
        <v>0.17964302200338514</v>
      </c>
      <c r="I74" s="128"/>
      <c r="J74" s="128"/>
    </row>
    <row r="75" spans="1:10" s="5" customFormat="1" ht="36" customHeight="1" x14ac:dyDescent="0.2">
      <c r="A75" s="98" t="s">
        <v>10</v>
      </c>
      <c r="B75" s="86">
        <f>SUM(B76,B80,B81)</f>
        <v>1042.4694850000001</v>
      </c>
      <c r="C75" s="86">
        <f>SUM(C76,C80,C81)</f>
        <v>1188.1769999999999</v>
      </c>
      <c r="D75" s="86">
        <f>SUM(D76,D80,D81)</f>
        <v>1227.0039999999999</v>
      </c>
      <c r="E75" s="86">
        <f t="shared" si="1"/>
        <v>184.53451499999983</v>
      </c>
      <c r="F75" s="86">
        <f>Таблица224627910121314572[[#This Row],[Столбец8]]/Таблица224627910121314572[[#This Row],[Столбец4]]*100-100</f>
        <v>17.701670663290429</v>
      </c>
      <c r="G75" s="86">
        <f>Таблица224627910121314572[[#This Row],[Столбец4]]/$B$6*100</f>
        <v>1.1252848214333904</v>
      </c>
      <c r="H75" s="87">
        <f t="shared" si="0"/>
        <v>1.1799930758578241</v>
      </c>
      <c r="I75" s="128"/>
      <c r="J75" s="128"/>
    </row>
    <row r="76" spans="1:10" s="5" customFormat="1" ht="21" x14ac:dyDescent="0.2">
      <c r="A76" s="100" t="s">
        <v>27</v>
      </c>
      <c r="B76" s="99">
        <f>B77+B78+B79</f>
        <v>854.81821000000002</v>
      </c>
      <c r="C76" s="99">
        <f>C77+C78+C79</f>
        <v>882.67700000000002</v>
      </c>
      <c r="D76" s="99">
        <f>D77+D78+D79</f>
        <v>891.577</v>
      </c>
      <c r="E76" s="91">
        <f t="shared" si="1"/>
        <v>36.758789999999976</v>
      </c>
      <c r="F76" s="91">
        <f>Таблица224627910121314572[[#This Row],[Столбец8]]/Таблица224627910121314572[[#This Row],[Столбец4]]*100-100</f>
        <v>4.3001879896779514</v>
      </c>
      <c r="G76" s="91">
        <f>Таблица224627910121314572[[#This Row],[Столбец4]]/$B$6*100</f>
        <v>0.92272624823916105</v>
      </c>
      <c r="H76" s="92">
        <f t="shared" ref="H76:H135" si="4">D76/$D$6*100</f>
        <v>0.85741748730573941</v>
      </c>
      <c r="I76" s="128"/>
      <c r="J76" s="128"/>
    </row>
    <row r="77" spans="1:10" s="5" customFormat="1" ht="21" x14ac:dyDescent="0.2">
      <c r="A77" s="95" t="s">
        <v>33</v>
      </c>
      <c r="B77" s="99">
        <v>197.264253</v>
      </c>
      <c r="C77" s="91">
        <v>197.2</v>
      </c>
      <c r="D77" s="91">
        <v>199.2</v>
      </c>
      <c r="E77" s="91">
        <f t="shared" ref="E77:E136" si="5">D77-B77</f>
        <v>1.9357469999999921</v>
      </c>
      <c r="F77" s="91">
        <f>Таблица224627910121314572[[#This Row],[Столбец8]]/Таблица224627910121314572[[#This Row],[Столбец4]]*100-100</f>
        <v>0.98129639332069019</v>
      </c>
      <c r="G77" s="91">
        <f>Таблица224627910121314572[[#This Row],[Столбец4]]/$B$6*100</f>
        <v>0.21293522055688385</v>
      </c>
      <c r="H77" s="92">
        <f t="shared" si="4"/>
        <v>0.19156793352823509</v>
      </c>
      <c r="I77" s="128"/>
      <c r="J77" s="128"/>
    </row>
    <row r="78" spans="1:10" s="5" customFormat="1" ht="21" x14ac:dyDescent="0.2">
      <c r="A78" s="95" t="s">
        <v>34</v>
      </c>
      <c r="B78" s="99">
        <v>257.17700000000002</v>
      </c>
      <c r="C78" s="99">
        <v>257.17700000000002</v>
      </c>
      <c r="D78" s="99">
        <v>257.17700000000002</v>
      </c>
      <c r="E78" s="91">
        <f t="shared" si="5"/>
        <v>0</v>
      </c>
      <c r="F78" s="91">
        <f>Таблица224627910121314572[[#This Row],[Столбец8]]/Таблица224627910121314572[[#This Row],[Столбец4]]*100-100</f>
        <v>0</v>
      </c>
      <c r="G78" s="91">
        <f>Таблица224627910121314572[[#This Row],[Столбец4]]/$B$6*100</f>
        <v>0.27760752586611692</v>
      </c>
      <c r="H78" s="92">
        <f t="shared" si="4"/>
        <v>0.24732362671180183</v>
      </c>
      <c r="I78" s="128"/>
      <c r="J78" s="128"/>
    </row>
    <row r="79" spans="1:10" s="5" customFormat="1" ht="21" x14ac:dyDescent="0.2">
      <c r="A79" s="95" t="s">
        <v>35</v>
      </c>
      <c r="B79" s="93">
        <f>400.576957-0.2</f>
        <v>400.376957</v>
      </c>
      <c r="C79" s="96">
        <f>410.7+17.6</f>
        <v>428.3</v>
      </c>
      <c r="D79" s="96">
        <f>437.5+18.7-55.8+34.8</f>
        <v>435.2</v>
      </c>
      <c r="E79" s="96">
        <f t="shared" si="5"/>
        <v>34.823042999999984</v>
      </c>
      <c r="F79" s="96">
        <f>Таблица224627910121314572[[#This Row],[Столбец8]]/Таблица224627910121314572[[#This Row],[Столбец4]]*100-100</f>
        <v>8.6975642307007206</v>
      </c>
      <c r="G79" s="96">
        <f>Таблица224627910121314572[[#This Row],[Столбец4]]/$B$6*100</f>
        <v>0.43218350181616028</v>
      </c>
      <c r="H79" s="97">
        <f t="shared" si="4"/>
        <v>0.41852592706570241</v>
      </c>
      <c r="I79" s="128"/>
      <c r="J79" s="128"/>
    </row>
    <row r="80" spans="1:10" s="6" customFormat="1" ht="21" x14ac:dyDescent="0.2">
      <c r="A80" s="100" t="s">
        <v>28</v>
      </c>
      <c r="B80" s="99">
        <v>148.32323</v>
      </c>
      <c r="C80" s="91">
        <v>265.39999999999998</v>
      </c>
      <c r="D80" s="91">
        <f>295.327</f>
        <v>295.327</v>
      </c>
      <c r="E80" s="91">
        <f t="shared" si="5"/>
        <v>147.00377</v>
      </c>
      <c r="F80" s="91">
        <f>Таблица224627910121314572[[#This Row],[Столбец8]]/Таблица224627910121314572[[#This Row],[Столбец4]]*100-100</f>
        <v>99.110415812816399</v>
      </c>
      <c r="G80" s="91">
        <f>Таблица224627910121314572[[#This Row],[Столбец4]]/$B$6*100</f>
        <v>0.16010624942654669</v>
      </c>
      <c r="H80" s="92">
        <f t="shared" si="4"/>
        <v>0.28401196337898138</v>
      </c>
      <c r="I80" s="128"/>
      <c r="J80" s="128"/>
    </row>
    <row r="81" spans="1:10" s="5" customFormat="1" ht="21" x14ac:dyDescent="0.2">
      <c r="A81" s="100" t="s">
        <v>29</v>
      </c>
      <c r="B81" s="99">
        <v>39.328045000000003</v>
      </c>
      <c r="C81" s="91">
        <v>40.1</v>
      </c>
      <c r="D81" s="91">
        <v>40.1</v>
      </c>
      <c r="E81" s="91">
        <f t="shared" si="5"/>
        <v>0.77195499999999839</v>
      </c>
      <c r="F81" s="91">
        <f>Таблица224627910121314572[[#This Row],[Столбец8]]/Таблица224627910121314572[[#This Row],[Столбец4]]*100-100</f>
        <v>1.9628613626738769</v>
      </c>
      <c r="G81" s="91">
        <f>Таблица224627910121314572[[#This Row],[Столбец4]]/$B$6*100</f>
        <v>4.2452323767682605E-2</v>
      </c>
      <c r="H81" s="92">
        <f t="shared" si="4"/>
        <v>3.8563625173103556E-2</v>
      </c>
      <c r="I81" s="128"/>
      <c r="J81" s="128"/>
    </row>
    <row r="82" spans="1:10" s="5" customFormat="1" ht="38.25" customHeight="1" x14ac:dyDescent="0.2">
      <c r="A82" s="98" t="s">
        <v>13</v>
      </c>
      <c r="B82" s="86">
        <f>SUM(B83,B87,B88)</f>
        <v>8381.6032360000008</v>
      </c>
      <c r="C82" s="86">
        <f>SUM(C83,C87,C88)</f>
        <v>9553.3415690000002</v>
      </c>
      <c r="D82" s="86">
        <f>SUM(D83,D87,D88)</f>
        <v>10243.247831000001</v>
      </c>
      <c r="E82" s="86">
        <f t="shared" si="5"/>
        <v>1861.6445949999998</v>
      </c>
      <c r="F82" s="86">
        <f>Таблица224627910121314572[[#This Row],[Столбец8]]/Таблица224627910121314572[[#This Row],[Столбец4]]*100-100</f>
        <v>22.211079939981062</v>
      </c>
      <c r="G82" s="86">
        <f>Таблица224627910121314572[[#This Row],[Столбец4]]/$B$6*100</f>
        <v>9.0474503440719776</v>
      </c>
      <c r="H82" s="87">
        <f t="shared" si="4"/>
        <v>9.8507922670795516</v>
      </c>
      <c r="I82" s="128"/>
      <c r="J82" s="128"/>
    </row>
    <row r="83" spans="1:10" s="5" customFormat="1" ht="21" x14ac:dyDescent="0.2">
      <c r="A83" s="100" t="s">
        <v>27</v>
      </c>
      <c r="B83" s="91">
        <f t="shared" ref="B83:D84" si="6">B90+B97+B104+B111+B117+B124</f>
        <v>4223.3639850000009</v>
      </c>
      <c r="C83" s="91">
        <f t="shared" si="6"/>
        <v>4255.7794190000004</v>
      </c>
      <c r="D83" s="91">
        <f t="shared" si="6"/>
        <v>4774.3846810000005</v>
      </c>
      <c r="E83" s="91">
        <f t="shared" si="5"/>
        <v>551.02069599999959</v>
      </c>
      <c r="F83" s="91">
        <f>Таблица224627910121314572[[#This Row],[Столбец8]]/Таблица224627910121314572[[#This Row],[Столбец4]]*100-100</f>
        <v>13.046962041563177</v>
      </c>
      <c r="G83" s="91">
        <f>Таблица224627910121314572[[#This Row],[Столбец4]]/$B$6*100</f>
        <v>4.558874342215339</v>
      </c>
      <c r="H83" s="92">
        <f t="shared" si="4"/>
        <v>4.5914608795583938</v>
      </c>
      <c r="I83" s="128"/>
      <c r="J83" s="128"/>
    </row>
    <row r="84" spans="1:10" s="5" customFormat="1" ht="21" x14ac:dyDescent="0.2">
      <c r="A84" s="95" t="s">
        <v>33</v>
      </c>
      <c r="B84" s="91">
        <f t="shared" si="6"/>
        <v>189.09364300000001</v>
      </c>
      <c r="C84" s="91">
        <f t="shared" si="6"/>
        <v>195.64558500000001</v>
      </c>
      <c r="D84" s="91">
        <f t="shared" si="6"/>
        <v>193.381135</v>
      </c>
      <c r="E84" s="91">
        <f t="shared" si="5"/>
        <v>4.2874919999999861</v>
      </c>
      <c r="F84" s="91">
        <f>Таблица224627910121314572[[#This Row],[Столбец8]]/Таблица224627910121314572[[#This Row],[Столбец4]]*100-100</f>
        <v>2.2673908715164828</v>
      </c>
      <c r="G84" s="91">
        <f>Таблица224627910121314572[[#This Row],[Столбец4]]/$B$6*100</f>
        <v>0.20411552506733019</v>
      </c>
      <c r="H84" s="92">
        <f t="shared" si="4"/>
        <v>0.18597201011694109</v>
      </c>
      <c r="I84" s="128"/>
      <c r="J84" s="128"/>
    </row>
    <row r="85" spans="1:10" s="5" customFormat="1" ht="21" x14ac:dyDescent="0.2">
      <c r="A85" s="95" t="s">
        <v>34</v>
      </c>
      <c r="B85" s="91">
        <f>B92+B99+B106+B113+B119</f>
        <v>2754.2490000000003</v>
      </c>
      <c r="C85" s="91">
        <f>C92+C99+C106+C113+C119</f>
        <v>2733.9</v>
      </c>
      <c r="D85" s="91">
        <f>D92+D99+D106+D113+D119</f>
        <v>3254.2490000000003</v>
      </c>
      <c r="E85" s="91">
        <f t="shared" si="5"/>
        <v>500</v>
      </c>
      <c r="F85" s="91">
        <f>Таблица224627910121314572[[#This Row],[Столбец8]]/Таблица224627910121314572[[#This Row],[Столбец4]]*100-100</f>
        <v>18.153768958434767</v>
      </c>
      <c r="G85" s="91">
        <f>Таблица224627910121314572[[#This Row],[Столбец4]]/$B$6*100</f>
        <v>2.9730506635866605</v>
      </c>
      <c r="H85" s="92">
        <f t="shared" si="4"/>
        <v>3.1295670487767353</v>
      </c>
      <c r="I85" s="128"/>
      <c r="J85" s="128"/>
    </row>
    <row r="86" spans="1:10" s="5" customFormat="1" ht="21" x14ac:dyDescent="0.2">
      <c r="A86" s="95" t="s">
        <v>35</v>
      </c>
      <c r="B86" s="96">
        <f>B93+B100+B107+B114+B120+B126+0.1</f>
        <v>1280.1213419999999</v>
      </c>
      <c r="C86" s="96">
        <f>C93+C100+C107+C114+C120+C126</f>
        <v>1326.2338340000003</v>
      </c>
      <c r="D86" s="96">
        <f>D93+D100+D107+D114+D120+D126</f>
        <v>1326.7545460000001</v>
      </c>
      <c r="E86" s="96">
        <f t="shared" si="5"/>
        <v>46.633204000000205</v>
      </c>
      <c r="F86" s="96">
        <f>Таблица224627910121314572[[#This Row],[Столбец8]]/Таблица224627910121314572[[#This Row],[Столбец4]]*100-100</f>
        <v>3.6428737237629889</v>
      </c>
      <c r="G86" s="96">
        <f>Таблица224627910121314572[[#This Row],[Столбец4]]/$B$6*100</f>
        <v>1.3818160977110443</v>
      </c>
      <c r="H86" s="97">
        <f t="shared" si="4"/>
        <v>1.2759218206647178</v>
      </c>
      <c r="I86" s="128"/>
      <c r="J86" s="128"/>
    </row>
    <row r="87" spans="1:10" s="5" customFormat="1" ht="21" x14ac:dyDescent="0.2">
      <c r="A87" s="100" t="s">
        <v>28</v>
      </c>
      <c r="B87" s="91">
        <f>B94+B101+B108+B121</f>
        <v>3995.7302959999997</v>
      </c>
      <c r="C87" s="91">
        <f>C94+C101+C108+C121</f>
        <v>5133.6000000000004</v>
      </c>
      <c r="D87" s="91">
        <f>D94+D101+D108+D121</f>
        <v>5294.2369999999992</v>
      </c>
      <c r="E87" s="91">
        <f t="shared" si="5"/>
        <v>1298.5067039999994</v>
      </c>
      <c r="F87" s="91">
        <f>Таблица224627910121314572[[#This Row],[Столбец8]]/Таблица224627910121314572[[#This Row],[Столбец4]]*100-100</f>
        <v>32.497356122856786</v>
      </c>
      <c r="G87" s="91">
        <f>Таблица224627910121314572[[#This Row],[Столбец4]]/$B$6*100</f>
        <v>4.3131570922004956</v>
      </c>
      <c r="H87" s="92">
        <f t="shared" si="4"/>
        <v>5.091395791660255</v>
      </c>
      <c r="I87" s="128"/>
      <c r="J87" s="128"/>
    </row>
    <row r="88" spans="1:10" s="5" customFormat="1" ht="21" x14ac:dyDescent="0.2">
      <c r="A88" s="100" t="s">
        <v>29</v>
      </c>
      <c r="B88" s="91">
        <f>B95+B102+B109+B115+B122+B127</f>
        <v>162.50895499999999</v>
      </c>
      <c r="C88" s="91">
        <f>C95+C102+C109+C115+C122+C127</f>
        <v>163.96215000000001</v>
      </c>
      <c r="D88" s="91">
        <f>D95+D102+D109+D115+D122+D127</f>
        <v>174.62615000000002</v>
      </c>
      <c r="E88" s="91">
        <f t="shared" si="5"/>
        <v>12.117195000000038</v>
      </c>
      <c r="F88" s="91">
        <f>Таблица224627910121314572[[#This Row],[Столбец8]]/Таблица224627910121314572[[#This Row],[Столбец4]]*100-100</f>
        <v>7.4563244837800227</v>
      </c>
      <c r="G88" s="91">
        <f>Таблица224627910121314572[[#This Row],[Столбец4]]/$B$6*100</f>
        <v>0.1754189096561439</v>
      </c>
      <c r="H88" s="92">
        <f t="shared" si="4"/>
        <v>0.1679355958609017</v>
      </c>
      <c r="I88" s="128"/>
      <c r="J88" s="128"/>
    </row>
    <row r="89" spans="1:10" s="6" customFormat="1" ht="42" x14ac:dyDescent="0.2">
      <c r="A89" s="98" t="s">
        <v>11</v>
      </c>
      <c r="B89" s="86">
        <f>SUM(B90,B94,B95)</f>
        <v>1275.9662990000002</v>
      </c>
      <c r="C89" s="86">
        <f>SUM(C90,C94,C95)</f>
        <v>1397.6014500000001</v>
      </c>
      <c r="D89" s="86">
        <f>SUM(D90,D94,D95)</f>
        <v>1431.827</v>
      </c>
      <c r="E89" s="86">
        <f t="shared" si="5"/>
        <v>155.86070099999984</v>
      </c>
      <c r="F89" s="86">
        <f>Таблица224627910121314572[[#This Row],[Столбец8]]/Таблица224627910121314572[[#This Row],[Столбец4]]*100-100</f>
        <v>12.215111098322183</v>
      </c>
      <c r="G89" s="86">
        <f>Таблица224627910121314572[[#This Row],[Столбец4]]/$B$6*100</f>
        <v>1.3773309718751519</v>
      </c>
      <c r="H89" s="87">
        <f t="shared" si="4"/>
        <v>1.3769685720880136</v>
      </c>
      <c r="I89" s="128"/>
      <c r="J89" s="128"/>
    </row>
    <row r="90" spans="1:10" s="5" customFormat="1" ht="21" x14ac:dyDescent="0.2">
      <c r="A90" s="100" t="s">
        <v>27</v>
      </c>
      <c r="B90" s="99">
        <f>B91+B92+B93</f>
        <v>769.87898900000005</v>
      </c>
      <c r="C90" s="99">
        <f>C91+C92+C93</f>
        <v>784.54145000000005</v>
      </c>
      <c r="D90" s="99">
        <f>D91+D92+D93</f>
        <v>789.99</v>
      </c>
      <c r="E90" s="91">
        <f t="shared" si="5"/>
        <v>20.111010999999962</v>
      </c>
      <c r="F90" s="91">
        <f>Таблица224627910121314572[[#This Row],[Столбец8]]/Таблица224627910121314572[[#This Row],[Столбец4]]*100-100</f>
        <v>2.6122301410150612</v>
      </c>
      <c r="G90" s="91">
        <f>Таблица224627910121314572[[#This Row],[Столбец4]]/$B$6*100</f>
        <v>0.83103932837150052</v>
      </c>
      <c r="H90" s="92">
        <f t="shared" si="4"/>
        <v>0.75972264963840597</v>
      </c>
      <c r="I90" s="128"/>
      <c r="J90" s="128"/>
    </row>
    <row r="91" spans="1:10" s="5" customFormat="1" ht="21" x14ac:dyDescent="0.2">
      <c r="A91" s="95" t="s">
        <v>33</v>
      </c>
      <c r="B91" s="99">
        <v>29.25845</v>
      </c>
      <c r="C91" s="99">
        <v>29.25845</v>
      </c>
      <c r="D91" s="99">
        <v>30.414000000000001</v>
      </c>
      <c r="E91" s="91">
        <f t="shared" si="5"/>
        <v>1.1555500000000016</v>
      </c>
      <c r="F91" s="91">
        <f>Таблица224627910121314572[[#This Row],[Столбец8]]/Таблица224627910121314572[[#This Row],[Столбец4]]*100-100</f>
        <v>3.9494573362567138</v>
      </c>
      <c r="G91" s="91">
        <f>Таблица224627910121314572[[#This Row],[Столбец4]]/$B$6*100</f>
        <v>3.1582785067006333E-2</v>
      </c>
      <c r="H91" s="92">
        <f t="shared" si="4"/>
        <v>2.9248730573934449E-2</v>
      </c>
      <c r="I91" s="128"/>
      <c r="J91" s="128"/>
    </row>
    <row r="92" spans="1:10" s="5" customFormat="1" ht="21" x14ac:dyDescent="0.2">
      <c r="A92" s="95" t="s">
        <v>34</v>
      </c>
      <c r="B92" s="99">
        <v>144.59299999999999</v>
      </c>
      <c r="C92" s="91">
        <v>140.30000000000001</v>
      </c>
      <c r="D92" s="99">
        <v>144.59299999999999</v>
      </c>
      <c r="E92" s="91">
        <f t="shared" si="5"/>
        <v>0</v>
      </c>
      <c r="F92" s="91">
        <f>Таблица224627910121314572[[#This Row],[Столбец8]]/Таблица224627910121314572[[#This Row],[Столбец4]]*100-100</f>
        <v>0</v>
      </c>
      <c r="G92" s="91">
        <f>Таблица224627910121314572[[#This Row],[Столбец4]]/$B$6*100</f>
        <v>0.15607968437130626</v>
      </c>
      <c r="H92" s="92">
        <f t="shared" si="4"/>
        <v>0.13905312355747035</v>
      </c>
      <c r="I92" s="128"/>
      <c r="J92" s="128"/>
    </row>
    <row r="93" spans="1:10" s="5" customFormat="1" ht="21" x14ac:dyDescent="0.2">
      <c r="A93" s="95" t="s">
        <v>35</v>
      </c>
      <c r="B93" s="93">
        <v>596.02753900000005</v>
      </c>
      <c r="C93" s="96">
        <f>614.297+0.686</f>
        <v>614.98300000000006</v>
      </c>
      <c r="D93" s="96">
        <f>614.297+0.686</f>
        <v>614.98300000000006</v>
      </c>
      <c r="E93" s="96">
        <f>D93-B93</f>
        <v>18.955461000000014</v>
      </c>
      <c r="F93" s="96">
        <f>Таблица224627910121314572[[#This Row],[Столбец8]]/Таблица224627910121314572[[#This Row],[Столбец4]]*100-100</f>
        <v>3.1802995263948759</v>
      </c>
      <c r="G93" s="96">
        <f>Таблица224627910121314572[[#This Row],[Столбец4]]/$B$6*100</f>
        <v>0.64337685893318808</v>
      </c>
      <c r="H93" s="97">
        <f t="shared" si="4"/>
        <v>0.59142079550700111</v>
      </c>
      <c r="I93" s="128"/>
      <c r="J93" s="128"/>
    </row>
    <row r="94" spans="1:10" s="5" customFormat="1" ht="21" x14ac:dyDescent="0.2">
      <c r="A94" s="100" t="s">
        <v>28</v>
      </c>
      <c r="B94" s="99">
        <f>61.07607+374.89165</f>
        <v>435.96772000000004</v>
      </c>
      <c r="C94" s="91">
        <v>542.5</v>
      </c>
      <c r="D94" s="91">
        <f>475.36+93.121</f>
        <v>568.48099999999999</v>
      </c>
      <c r="E94" s="91">
        <f t="shared" si="5"/>
        <v>132.51327999999995</v>
      </c>
      <c r="F94" s="91">
        <f>Таблица224627910121314572[[#This Row],[Столбец8]]/Таблица224627910121314572[[#This Row],[Столбец4]]*100-100</f>
        <v>30.395204488992874</v>
      </c>
      <c r="G94" s="91">
        <f>Таблица224627910121314572[[#This Row],[Столбец4]]/$B$6*100</f>
        <v>0.47060164830716594</v>
      </c>
      <c r="H94" s="92">
        <f t="shared" si="4"/>
        <v>0.54670045391598709</v>
      </c>
      <c r="I94" s="128"/>
      <c r="J94" s="128"/>
    </row>
    <row r="95" spans="1:10" s="5" customFormat="1" ht="21" x14ac:dyDescent="0.2">
      <c r="A95" s="100" t="s">
        <v>29</v>
      </c>
      <c r="B95" s="99">
        <v>70.119590000000002</v>
      </c>
      <c r="C95" s="91">
        <v>70.56</v>
      </c>
      <c r="D95" s="91">
        <v>73.355999999999995</v>
      </c>
      <c r="E95" s="91">
        <f t="shared" si="5"/>
        <v>3.2364099999999922</v>
      </c>
      <c r="F95" s="91">
        <f>Таблица224627910121314572[[#This Row],[Столбец8]]/Таблица224627910121314572[[#This Row],[Столбец4]]*100-100</f>
        <v>4.6155575068251125</v>
      </c>
      <c r="G95" s="91">
        <f>Таблица224627910121314572[[#This Row],[Столбец4]]/$B$6*100</f>
        <v>7.5689995196485338E-2</v>
      </c>
      <c r="H95" s="92">
        <f t="shared" si="4"/>
        <v>7.0545468533620551E-2</v>
      </c>
      <c r="I95" s="128"/>
      <c r="J95" s="128"/>
    </row>
    <row r="96" spans="1:10" s="5" customFormat="1" ht="21" x14ac:dyDescent="0.2">
      <c r="A96" s="98" t="s">
        <v>4</v>
      </c>
      <c r="B96" s="86">
        <f>SUM(B97,B101,B102)</f>
        <v>3832.9598770000002</v>
      </c>
      <c r="C96" s="86">
        <f>SUM(C97,C101,C102)</f>
        <v>4522</v>
      </c>
      <c r="D96" s="86">
        <f>SUM(D97,D101,D102)</f>
        <v>5031.5926680000002</v>
      </c>
      <c r="E96" s="86">
        <f t="shared" si="5"/>
        <v>1198.632791</v>
      </c>
      <c r="F96" s="86">
        <f>Таблица224627910121314572[[#This Row],[Столбец8]]/Таблица224627910121314572[[#This Row],[Столбец4]]*100-100</f>
        <v>31.271728102151485</v>
      </c>
      <c r="G96" s="86">
        <f>Таблица224627910121314572[[#This Row],[Столбец4]]/$B$6*100</f>
        <v>4.1374559474527883</v>
      </c>
      <c r="H96" s="87">
        <f t="shared" si="4"/>
        <v>4.8388143060470847</v>
      </c>
      <c r="I96" s="128"/>
      <c r="J96" s="128"/>
    </row>
    <row r="97" spans="1:10" s="5" customFormat="1" ht="21" x14ac:dyDescent="0.2">
      <c r="A97" s="100" t="s">
        <v>27</v>
      </c>
      <c r="B97" s="99">
        <f>B98+B99+B100</f>
        <v>2189.7755970000003</v>
      </c>
      <c r="C97" s="99">
        <f>C98+C99+C100</f>
        <v>2186.5</v>
      </c>
      <c r="D97" s="99">
        <f>D98+D99+D100</f>
        <v>2692.3016680000001</v>
      </c>
      <c r="E97" s="91">
        <f t="shared" si="5"/>
        <v>502.52607099999977</v>
      </c>
      <c r="F97" s="91">
        <f>Таблица224627910121314572[[#This Row],[Столбец8]]/Таблица224627910121314572[[#This Row],[Столбец4]]*100-100</f>
        <v>22.948747428205081</v>
      </c>
      <c r="G97" s="91">
        <f>Таблица224627910121314572[[#This Row],[Столбец4]]/$B$6*100</f>
        <v>2.3637346484528905</v>
      </c>
      <c r="H97" s="92">
        <f t="shared" si="4"/>
        <v>2.5891499346053242</v>
      </c>
      <c r="I97" s="128"/>
      <c r="J97" s="128"/>
    </row>
    <row r="98" spans="1:10" s="5" customFormat="1" ht="21" x14ac:dyDescent="0.2">
      <c r="A98" s="95" t="s">
        <v>33</v>
      </c>
      <c r="B98" s="99">
        <v>8.9941250000000004</v>
      </c>
      <c r="C98" s="91">
        <v>9</v>
      </c>
      <c r="D98" s="91">
        <v>11.4</v>
      </c>
      <c r="E98" s="91">
        <f t="shared" si="5"/>
        <v>2.405875</v>
      </c>
      <c r="F98" s="91">
        <f>Таблица224627910121314572[[#This Row],[Столбец8]]/Таблица224627910121314572[[#This Row],[Столбец4]]*100-100</f>
        <v>26.749405862160017</v>
      </c>
      <c r="G98" s="91">
        <f>Таблица224627910121314572[[#This Row],[Столбец4]]/$B$6*100</f>
        <v>9.7086317539305158E-3</v>
      </c>
      <c r="H98" s="92">
        <f t="shared" si="4"/>
        <v>1.0963225111555624E-2</v>
      </c>
      <c r="I98" s="128"/>
      <c r="J98" s="128"/>
    </row>
    <row r="99" spans="1:10" s="5" customFormat="1" ht="21" x14ac:dyDescent="0.2">
      <c r="A99" s="95" t="s">
        <v>34</v>
      </c>
      <c r="B99" s="99">
        <v>2175.86</v>
      </c>
      <c r="C99" s="91">
        <v>2173</v>
      </c>
      <c r="D99" s="99">
        <f>2175.86+500</f>
        <v>2675.86</v>
      </c>
      <c r="E99" s="91">
        <f t="shared" si="5"/>
        <v>500</v>
      </c>
      <c r="F99" s="91">
        <f>Таблица224627910121314572[[#This Row],[Столбец8]]/Таблица224627910121314572[[#This Row],[Столбец4]]*100-100</f>
        <v>22.979419631777787</v>
      </c>
      <c r="G99" s="91">
        <f>Таблица224627910121314572[[#This Row],[Столбец4]]/$B$6*100</f>
        <v>2.3487135755959865</v>
      </c>
      <c r="H99" s="92">
        <f t="shared" si="4"/>
        <v>2.5733382058778278</v>
      </c>
      <c r="I99" s="128"/>
      <c r="J99" s="128"/>
    </row>
    <row r="100" spans="1:10" s="5" customFormat="1" ht="21" x14ac:dyDescent="0.2">
      <c r="A100" s="95" t="s">
        <v>35</v>
      </c>
      <c r="B100" s="93">
        <v>4.9214719999999996</v>
      </c>
      <c r="C100" s="96">
        <f>4+0.5</f>
        <v>4.5</v>
      </c>
      <c r="D100" s="96">
        <f>4.9+0.141668</f>
        <v>5.0416680000000005</v>
      </c>
      <c r="E100" s="96">
        <f t="shared" si="5"/>
        <v>0.12019600000000086</v>
      </c>
      <c r="F100" s="96">
        <f>Таблица224627910121314572[[#This Row],[Столбец8]]/Таблица224627910121314572[[#This Row],[Столбец4]]*100-100</f>
        <v>2.4422774324429781</v>
      </c>
      <c r="G100" s="96">
        <f>Таблица224627910121314572[[#This Row],[Столбец4]]/$B$6*100</f>
        <v>5.3124411029733211E-3</v>
      </c>
      <c r="H100" s="97">
        <f t="shared" si="4"/>
        <v>4.8485036159409151E-3</v>
      </c>
      <c r="I100" s="128"/>
      <c r="J100" s="128"/>
    </row>
    <row r="101" spans="1:10" s="5" customFormat="1" ht="21" x14ac:dyDescent="0.2">
      <c r="A101" s="100" t="s">
        <v>28</v>
      </c>
      <c r="B101" s="99">
        <f>907.775+730.64684</f>
        <v>1638.42184</v>
      </c>
      <c r="C101" s="91">
        <v>2330.6</v>
      </c>
      <c r="D101" s="91">
        <f>1044.588+1289.541</f>
        <v>2334.1289999999999</v>
      </c>
      <c r="E101" s="91">
        <f t="shared" si="5"/>
        <v>695.70715999999993</v>
      </c>
      <c r="F101" s="91">
        <f>Таблица224627910121314572[[#This Row],[Столбец8]]/Таблица224627910121314572[[#This Row],[Столбец4]]*100-100</f>
        <v>42.46202919267725</v>
      </c>
      <c r="G101" s="91">
        <f>Таблица224627910121314572[[#This Row],[Столбец4]]/$B$6*100</f>
        <v>1.7685805236370704</v>
      </c>
      <c r="H101" s="92">
        <f t="shared" si="4"/>
        <v>2.244700146176335</v>
      </c>
      <c r="I101" s="128"/>
      <c r="J101" s="128"/>
    </row>
    <row r="102" spans="1:10" s="5" customFormat="1" ht="21" x14ac:dyDescent="0.2">
      <c r="A102" s="100" t="s">
        <v>29</v>
      </c>
      <c r="B102" s="99">
        <v>4.7624399999999998</v>
      </c>
      <c r="C102" s="91">
        <v>4.9000000000000004</v>
      </c>
      <c r="D102" s="91">
        <v>5.1619999999999999</v>
      </c>
      <c r="E102" s="91">
        <f t="shared" si="5"/>
        <v>0.39956000000000014</v>
      </c>
      <c r="F102" s="91">
        <f>Таблица224627910121314572[[#This Row],[Столбец8]]/Таблица224627910121314572[[#This Row],[Столбец4]]*100-100</f>
        <v>8.3898169845709276</v>
      </c>
      <c r="G102" s="91">
        <f>Таблица224627910121314572[[#This Row],[Столбец4]]/$B$6*100</f>
        <v>5.1407753628272728E-3</v>
      </c>
      <c r="H102" s="92">
        <f t="shared" si="4"/>
        <v>4.9642252654254499E-3</v>
      </c>
      <c r="I102" s="128"/>
      <c r="J102" s="128"/>
    </row>
    <row r="103" spans="1:10" s="5" customFormat="1" ht="33" customHeight="1" x14ac:dyDescent="0.2">
      <c r="A103" s="98" t="s">
        <v>5</v>
      </c>
      <c r="B103" s="86">
        <f>SUM(B104,B108,B109)</f>
        <v>741.19259199999999</v>
      </c>
      <c r="C103" s="86">
        <f>SUM(C104,C108,C109)</f>
        <v>978.82193500000005</v>
      </c>
      <c r="D103" s="86">
        <f>SUM(D104,D108,D109)</f>
        <v>1002.5119349999999</v>
      </c>
      <c r="E103" s="86">
        <f t="shared" si="5"/>
        <v>261.31934299999989</v>
      </c>
      <c r="F103" s="86">
        <f>Таблица224627910121314572[[#This Row],[Столбец8]]/Таблица224627910121314572[[#This Row],[Столбец4]]*100-100</f>
        <v>35.256604804274673</v>
      </c>
      <c r="G103" s="86">
        <f>Таблица224627910121314572[[#This Row],[Столбец4]]/$B$6*100</f>
        <v>0.80007404105116009</v>
      </c>
      <c r="H103" s="87">
        <f t="shared" si="4"/>
        <v>0.96410210705493138</v>
      </c>
      <c r="I103" s="128"/>
      <c r="J103" s="128"/>
    </row>
    <row r="104" spans="1:10" s="5" customFormat="1" ht="21" x14ac:dyDescent="0.2">
      <c r="A104" s="100" t="s">
        <v>27</v>
      </c>
      <c r="B104" s="99">
        <f>B105+B106+B107</f>
        <v>222.085443</v>
      </c>
      <c r="C104" s="99">
        <f>C105+C106+C107</f>
        <v>227.02193499999998</v>
      </c>
      <c r="D104" s="99">
        <f>D105+D106+D107</f>
        <v>228.92193499999999</v>
      </c>
      <c r="E104" s="91">
        <f t="shared" si="5"/>
        <v>6.8364919999999927</v>
      </c>
      <c r="F104" s="91">
        <f>Таблица224627910121314572[[#This Row],[Столбец8]]/Таблица224627910121314572[[#This Row],[Столбец4]]*100-100</f>
        <v>3.0783161235831074</v>
      </c>
      <c r="G104" s="91">
        <f>Таблица224627910121314572[[#This Row],[Столбец4]]/$B$6*100</f>
        <v>0.23972824304704746</v>
      </c>
      <c r="H104" s="92">
        <f t="shared" si="4"/>
        <v>0.22015111459455303</v>
      </c>
      <c r="I104" s="128"/>
      <c r="J104" s="128"/>
    </row>
    <row r="105" spans="1:10" s="5" customFormat="1" ht="21" x14ac:dyDescent="0.2">
      <c r="A105" s="95" t="s">
        <v>33</v>
      </c>
      <c r="B105" s="99">
        <v>63.963507999999997</v>
      </c>
      <c r="C105" s="91">
        <v>70.8</v>
      </c>
      <c r="D105" s="91">
        <v>70.8</v>
      </c>
      <c r="E105" s="91">
        <f t="shared" si="5"/>
        <v>6.8364919999999998</v>
      </c>
      <c r="F105" s="91">
        <f>Таблица224627910121314572[[#This Row],[Столбец8]]/Таблица224627910121314572[[#This Row],[Столбец4]]*100-100</f>
        <v>10.688112978418872</v>
      </c>
      <c r="G105" s="91">
        <f>Таблица224627910121314572[[#This Row],[Столбец4]]/$B$6*100</f>
        <v>6.9044864826938543E-2</v>
      </c>
      <c r="H105" s="92">
        <f t="shared" si="4"/>
        <v>6.8087398061240187E-2</v>
      </c>
      <c r="I105" s="128"/>
      <c r="J105" s="128"/>
    </row>
    <row r="106" spans="1:10" s="5" customFormat="1" ht="21" x14ac:dyDescent="0.2">
      <c r="A106" s="95" t="s">
        <v>34</v>
      </c>
      <c r="B106" s="99">
        <v>17.899999999999999</v>
      </c>
      <c r="C106" s="91">
        <v>16</v>
      </c>
      <c r="D106" s="99">
        <v>17.899999999999999</v>
      </c>
      <c r="E106" s="91">
        <f t="shared" si="5"/>
        <v>0</v>
      </c>
      <c r="F106" s="91">
        <f>Таблица224627910121314572[[#This Row],[Столбец8]]/Таблица224627910121314572[[#This Row],[Столбец4]]*100-100</f>
        <v>0</v>
      </c>
      <c r="G106" s="91">
        <f>Таблица224627910121314572[[#This Row],[Столбец4]]/$B$6*100</f>
        <v>1.9322002795753475E-2</v>
      </c>
      <c r="H106" s="92">
        <f t="shared" si="4"/>
        <v>1.7214186797968916E-2</v>
      </c>
      <c r="I106" s="128"/>
      <c r="J106" s="128"/>
    </row>
    <row r="107" spans="1:10" s="5" customFormat="1" ht="21" x14ac:dyDescent="0.2">
      <c r="A107" s="95" t="s">
        <v>35</v>
      </c>
      <c r="B107" s="93">
        <v>140.221935</v>
      </c>
      <c r="C107" s="96">
        <v>140.221935</v>
      </c>
      <c r="D107" s="96">
        <v>140.221935</v>
      </c>
      <c r="E107" s="96">
        <f t="shared" si="5"/>
        <v>0</v>
      </c>
      <c r="F107" s="96">
        <f>Таблица224627910121314572[[#This Row],[Столбец8]]/Таблица224627910121314572[[#This Row],[Столбец4]]*100-100</f>
        <v>0</v>
      </c>
      <c r="G107" s="96">
        <f>Таблица224627910121314572[[#This Row],[Столбец4]]/$B$6*100</f>
        <v>0.15136137542435543</v>
      </c>
      <c r="H107" s="97">
        <f t="shared" si="4"/>
        <v>0.13484952973534392</v>
      </c>
      <c r="I107" s="128"/>
      <c r="J107" s="128"/>
    </row>
    <row r="108" spans="1:10" s="5" customFormat="1" ht="21" x14ac:dyDescent="0.2">
      <c r="A108" s="100" t="s">
        <v>28</v>
      </c>
      <c r="B108" s="99">
        <f>329.96865+162.72278</f>
        <v>492.69143000000003</v>
      </c>
      <c r="C108" s="91">
        <v>725.1</v>
      </c>
      <c r="D108" s="91">
        <f>232.91+512.236</f>
        <v>745.14599999999996</v>
      </c>
      <c r="E108" s="91">
        <f t="shared" si="5"/>
        <v>252.45456999999993</v>
      </c>
      <c r="F108" s="91">
        <f>Таблица224627910121314572[[#This Row],[Столбец8]]/Таблица224627910121314572[[#This Row],[Столбец4]]*100-100</f>
        <v>51.239894714628974</v>
      </c>
      <c r="G108" s="91">
        <f>Таблица224627910121314572[[#This Row],[Столбец4]]/$B$6*100</f>
        <v>0.53183157474322784</v>
      </c>
      <c r="H108" s="92">
        <f t="shared" si="4"/>
        <v>0.71659678412063388</v>
      </c>
      <c r="I108" s="128"/>
      <c r="J108" s="128"/>
    </row>
    <row r="109" spans="1:10" s="5" customFormat="1" ht="21" x14ac:dyDescent="0.2">
      <c r="A109" s="100" t="s">
        <v>29</v>
      </c>
      <c r="B109" s="99">
        <v>26.415718999999999</v>
      </c>
      <c r="C109" s="91">
        <v>26.7</v>
      </c>
      <c r="D109" s="91">
        <v>28.443999999999999</v>
      </c>
      <c r="E109" s="91">
        <f t="shared" si="5"/>
        <v>2.0282809999999998</v>
      </c>
      <c r="F109" s="91">
        <f>Таблица224627910121314572[[#This Row],[Столбец8]]/Таблица224627910121314572[[#This Row],[Столбец4]]*100-100</f>
        <v>7.6783107815464007</v>
      </c>
      <c r="G109" s="91">
        <f>Таблица224627910121314572[[#This Row],[Столбец4]]/$B$6*100</f>
        <v>2.8514223260884819E-2</v>
      </c>
      <c r="H109" s="92">
        <f t="shared" si="4"/>
        <v>2.7354208339744574E-2</v>
      </c>
      <c r="I109" s="128"/>
      <c r="J109" s="128"/>
    </row>
    <row r="110" spans="1:10" s="5" customFormat="1" ht="21" x14ac:dyDescent="0.2">
      <c r="A110" s="98" t="s">
        <v>6</v>
      </c>
      <c r="B110" s="86">
        <f>SUM(B111,B115)</f>
        <v>193.345247</v>
      </c>
      <c r="C110" s="86">
        <f>SUM(C111,C115)</f>
        <v>191.6</v>
      </c>
      <c r="D110" s="86">
        <f>SUM(D111,D115)</f>
        <v>187.255044</v>
      </c>
      <c r="E110" s="86">
        <f t="shared" si="5"/>
        <v>-6.0902030000000025</v>
      </c>
      <c r="F110" s="86">
        <f>Таблица224627910121314572[[#This Row],[Столбец8]]/Таблица224627910121314572[[#This Row],[Столбец4]]*100-100</f>
        <v>-3.1499108948874266</v>
      </c>
      <c r="G110" s="86">
        <f>Таблица224627910121314572[[#This Row],[Столбец4]]/$B$6*100</f>
        <v>0.20870488285361152</v>
      </c>
      <c r="H110" s="87">
        <f t="shared" si="4"/>
        <v>0.18008063163563623</v>
      </c>
      <c r="I110" s="128"/>
      <c r="J110" s="128"/>
    </row>
    <row r="111" spans="1:10" s="5" customFormat="1" ht="21" x14ac:dyDescent="0.2">
      <c r="A111" s="100" t="s">
        <v>27</v>
      </c>
      <c r="B111" s="99">
        <f>B112+B113+B114</f>
        <v>190.33478400000001</v>
      </c>
      <c r="C111" s="99">
        <f>C112+C113+C114</f>
        <v>188.6</v>
      </c>
      <c r="D111" s="99">
        <f>D112+D113+D114</f>
        <v>184.255044</v>
      </c>
      <c r="E111" s="91">
        <f t="shared" si="5"/>
        <v>-6.0797400000000152</v>
      </c>
      <c r="F111" s="91">
        <f>Таблица224627910121314572[[#This Row],[Столбец8]]/Таблица224627910121314572[[#This Row],[Столбец4]]*100-100</f>
        <v>-3.1942348488440331</v>
      </c>
      <c r="G111" s="91">
        <f>Таблица224627910121314572[[#This Row],[Столбец4]]/$B$6*100</f>
        <v>0.20545526416632037</v>
      </c>
      <c r="H111" s="92">
        <f t="shared" si="4"/>
        <v>0.1771955723957532</v>
      </c>
      <c r="I111" s="128"/>
      <c r="J111" s="128"/>
    </row>
    <row r="112" spans="1:10" s="5" customFormat="1" ht="21" x14ac:dyDescent="0.2">
      <c r="A112" s="95" t="s">
        <v>33</v>
      </c>
      <c r="B112" s="99">
        <v>36.859740000000002</v>
      </c>
      <c r="C112" s="91">
        <v>36.9</v>
      </c>
      <c r="D112" s="91">
        <v>30.78</v>
      </c>
      <c r="E112" s="91">
        <f t="shared" si="5"/>
        <v>-6.079740000000001</v>
      </c>
      <c r="F112" s="91">
        <f>Таблица224627910121314572[[#This Row],[Столбец8]]/Таблица224627910121314572[[#This Row],[Столбец4]]*100-100</f>
        <v>-16.494256334960582</v>
      </c>
      <c r="G112" s="91">
        <f>Таблица224627910121314572[[#This Row],[Столбец4]]/$B$6*100</f>
        <v>3.9787932923505381E-2</v>
      </c>
      <c r="H112" s="92">
        <f t="shared" si="4"/>
        <v>2.9600707801200186E-2</v>
      </c>
      <c r="I112" s="128"/>
      <c r="J112" s="128"/>
    </row>
    <row r="113" spans="1:10" s="5" customFormat="1" ht="21" x14ac:dyDescent="0.2">
      <c r="A113" s="95" t="s">
        <v>34</v>
      </c>
      <c r="B113" s="99">
        <v>73.396000000000001</v>
      </c>
      <c r="C113" s="91">
        <v>71.599999999999994</v>
      </c>
      <c r="D113" s="99">
        <v>73.396000000000001</v>
      </c>
      <c r="E113" s="91">
        <f t="shared" si="5"/>
        <v>0</v>
      </c>
      <c r="F113" s="91">
        <f>Таблица224627910121314572[[#This Row],[Столбец8]]/Таблица224627910121314572[[#This Row],[Столбец4]]*100-100</f>
        <v>0</v>
      </c>
      <c r="G113" s="91">
        <f>Таблица224627910121314572[[#This Row],[Столбец4]]/$B$6*100</f>
        <v>7.9226688111571075E-2</v>
      </c>
      <c r="H113" s="92">
        <f t="shared" si="4"/>
        <v>7.0583935990152336E-2</v>
      </c>
      <c r="I113" s="128"/>
      <c r="J113" s="128"/>
    </row>
    <row r="114" spans="1:10" s="5" customFormat="1" ht="21" x14ac:dyDescent="0.2">
      <c r="A114" s="95" t="s">
        <v>35</v>
      </c>
      <c r="B114" s="93">
        <v>80.079043999999996</v>
      </c>
      <c r="C114" s="96">
        <v>80.099999999999994</v>
      </c>
      <c r="D114" s="96">
        <v>80.079043999999996</v>
      </c>
      <c r="E114" s="96">
        <f t="shared" si="5"/>
        <v>0</v>
      </c>
      <c r="F114" s="96">
        <f>Таблица224627910121314572[[#This Row],[Столбец8]]/Таблица224627910121314572[[#This Row],[Столбец4]]*100-100</f>
        <v>0</v>
      </c>
      <c r="G114" s="96">
        <f>Таблица224627910121314572[[#This Row],[Столбец4]]/$B$6*100</f>
        <v>8.6440643131243888E-2</v>
      </c>
      <c r="H114" s="97">
        <f t="shared" si="4"/>
        <v>7.7010928604400675E-2</v>
      </c>
      <c r="I114" s="128"/>
      <c r="J114" s="128"/>
    </row>
    <row r="115" spans="1:10" s="5" customFormat="1" ht="21" x14ac:dyDescent="0.2">
      <c r="A115" s="100" t="s">
        <v>29</v>
      </c>
      <c r="B115" s="99">
        <v>3.0104630000000001</v>
      </c>
      <c r="C115" s="91">
        <v>3</v>
      </c>
      <c r="D115" s="91">
        <v>3</v>
      </c>
      <c r="E115" s="91">
        <f t="shared" si="5"/>
        <v>-1.0463000000000111E-2</v>
      </c>
      <c r="F115" s="91">
        <f>Таблица224627910121314572[[#This Row],[Столбец8]]/Таблица224627910121314572[[#This Row],[Столбец4]]*100-100</f>
        <v>-0.34755451237900559</v>
      </c>
      <c r="G115" s="91">
        <f>Таблица224627910121314572[[#This Row],[Столбец4]]/$B$6*100</f>
        <v>3.2496186872911954E-3</v>
      </c>
      <c r="H115" s="92">
        <f t="shared" si="4"/>
        <v>2.8850592398830589E-3</v>
      </c>
      <c r="I115" s="128"/>
      <c r="J115" s="128"/>
    </row>
    <row r="116" spans="1:10" s="5" customFormat="1" ht="21" x14ac:dyDescent="0.2">
      <c r="A116" s="98" t="s">
        <v>14</v>
      </c>
      <c r="B116" s="86">
        <f>SUM(B117,B121,B122)</f>
        <v>2259.5400370000002</v>
      </c>
      <c r="C116" s="86">
        <f>SUM(C117,C121,C122)</f>
        <v>2370.7190000000001</v>
      </c>
      <c r="D116" s="86">
        <f>SUM(D117,D121,D122)</f>
        <v>2497.462</v>
      </c>
      <c r="E116" s="86">
        <f t="shared" si="5"/>
        <v>237.92196299999978</v>
      </c>
      <c r="F116" s="86">
        <f>Таблица224627910121314572[[#This Row],[Столбец8]]/Таблица224627910121314572[[#This Row],[Столбец4]]*100-100</f>
        <v>10.529663520186602</v>
      </c>
      <c r="G116" s="86">
        <f>Таблица224627910121314572[[#This Row],[Столбец4]]/$B$6*100</f>
        <v>2.4390412800017276</v>
      </c>
      <c r="H116" s="87">
        <f t="shared" si="4"/>
        <v>2.4017752731189415</v>
      </c>
      <c r="I116" s="128"/>
      <c r="J116" s="128"/>
    </row>
    <row r="117" spans="1:10" s="5" customFormat="1" ht="21" x14ac:dyDescent="0.2">
      <c r="A117" s="100" t="s">
        <v>27</v>
      </c>
      <c r="B117" s="99">
        <f>B118+B119+B120</f>
        <v>776.47313800000006</v>
      </c>
      <c r="C117" s="99">
        <f>C118+C119+C120</f>
        <v>780.30000000000007</v>
      </c>
      <c r="D117" s="99">
        <f>D118+D119+D120</f>
        <v>790.10000000000014</v>
      </c>
      <c r="E117" s="91">
        <f t="shared" si="5"/>
        <v>13.626862000000074</v>
      </c>
      <c r="F117" s="91">
        <f>Таблица224627910121314572[[#This Row],[Столбец8]]/Таблица224627910121314572[[#This Row],[Столбец4]]*100-100</f>
        <v>1.7549688885696071</v>
      </c>
      <c r="G117" s="91">
        <f>Таблица224627910121314572[[#This Row],[Столбец4]]/$B$6*100</f>
        <v>0.83815732643930041</v>
      </c>
      <c r="H117" s="92">
        <f t="shared" si="4"/>
        <v>0.75982843514386844</v>
      </c>
      <c r="I117" s="128"/>
      <c r="J117" s="128"/>
    </row>
    <row r="118" spans="1:10" s="5" customFormat="1" ht="21" x14ac:dyDescent="0.2">
      <c r="A118" s="95" t="s">
        <v>33</v>
      </c>
      <c r="B118" s="99">
        <v>38.530684999999998</v>
      </c>
      <c r="C118" s="91">
        <v>38.200000000000003</v>
      </c>
      <c r="D118" s="91">
        <v>38.5</v>
      </c>
      <c r="E118" s="91">
        <f t="shared" si="5"/>
        <v>-3.0684999999998297E-2</v>
      </c>
      <c r="F118" s="91">
        <f>Таблица224627910121314572[[#This Row],[Столбец8]]/Таблица224627910121314572[[#This Row],[Столбец4]]*100-100</f>
        <v>-7.9637826319455485E-2</v>
      </c>
      <c r="G118" s="91">
        <f>Таблица224627910121314572[[#This Row],[Столбец4]]/$B$6*100</f>
        <v>4.1591620295659021E-2</v>
      </c>
      <c r="H118" s="92">
        <f t="shared" si="4"/>
        <v>3.7024926911832588E-2</v>
      </c>
      <c r="I118" s="128"/>
      <c r="J118" s="128"/>
    </row>
    <row r="119" spans="1:10" s="5" customFormat="1" ht="21" x14ac:dyDescent="0.2">
      <c r="A119" s="95" t="s">
        <v>34</v>
      </c>
      <c r="B119" s="99">
        <v>342.5</v>
      </c>
      <c r="C119" s="91">
        <v>333</v>
      </c>
      <c r="D119" s="91">
        <v>342.5</v>
      </c>
      <c r="E119" s="91">
        <f t="shared" si="5"/>
        <v>0</v>
      </c>
      <c r="F119" s="91">
        <f>Таблица224627910121314572[[#This Row],[Столбец8]]/Таблица224627910121314572[[#This Row],[Столбец4]]*100-100</f>
        <v>0</v>
      </c>
      <c r="G119" s="91">
        <f>Таблица224627910121314572[[#This Row],[Столбец4]]/$B$6*100</f>
        <v>0.36970871271204281</v>
      </c>
      <c r="H119" s="92">
        <f t="shared" si="4"/>
        <v>0.32937759655331589</v>
      </c>
      <c r="I119" s="128"/>
      <c r="J119" s="128"/>
    </row>
    <row r="120" spans="1:10" s="5" customFormat="1" ht="21" x14ac:dyDescent="0.2">
      <c r="A120" s="95" t="s">
        <v>35</v>
      </c>
      <c r="B120" s="93">
        <v>395.442453</v>
      </c>
      <c r="C120" s="96">
        <v>409.10000000000008</v>
      </c>
      <c r="D120" s="96">
        <v>409.10000000000008</v>
      </c>
      <c r="E120" s="96">
        <f>D120-B120</f>
        <v>13.657547000000079</v>
      </c>
      <c r="F120" s="96">
        <f>Таблица224627910121314572[[#This Row],[Столбец8]]/Таблица224627910121314572[[#This Row],[Столбец4]]*100-100</f>
        <v>3.4537381852625941</v>
      </c>
      <c r="G120" s="96">
        <f>Таблица224627910121314572[[#This Row],[Столбец4]]/$B$6*100</f>
        <v>0.42685699343159844</v>
      </c>
      <c r="H120" s="97">
        <f t="shared" si="4"/>
        <v>0.39342591167871988</v>
      </c>
      <c r="I120" s="128"/>
      <c r="J120" s="128"/>
    </row>
    <row r="121" spans="1:10" s="5" customFormat="1" ht="21" x14ac:dyDescent="0.2">
      <c r="A121" s="100" t="s">
        <v>28</v>
      </c>
      <c r="B121" s="99">
        <v>1428.649306</v>
      </c>
      <c r="C121" s="91">
        <v>1535.4</v>
      </c>
      <c r="D121" s="91">
        <v>1646.481</v>
      </c>
      <c r="E121" s="91">
        <f t="shared" si="5"/>
        <v>217.83169399999997</v>
      </c>
      <c r="F121" s="91">
        <f>Таблица224627910121314572[[#This Row],[Столбец8]]/Таблица224627910121314572[[#This Row],[Столбец4]]*100-100</f>
        <v>15.247387380874827</v>
      </c>
      <c r="G121" s="91">
        <f>Таблица224627910121314572[[#This Row],[Столбец4]]/$B$6*100</f>
        <v>1.5421433455130316</v>
      </c>
      <c r="H121" s="92">
        <f t="shared" si="4"/>
        <v>1.5833984074472995</v>
      </c>
      <c r="I121" s="128"/>
      <c r="J121" s="128"/>
    </row>
    <row r="122" spans="1:10" s="5" customFormat="1" ht="21" x14ac:dyDescent="0.2">
      <c r="A122" s="100" t="s">
        <v>29</v>
      </c>
      <c r="B122" s="99">
        <v>54.417592999999997</v>
      </c>
      <c r="C122" s="91">
        <v>55.018999999999998</v>
      </c>
      <c r="D122" s="91">
        <v>60.881</v>
      </c>
      <c r="E122" s="91">
        <f t="shared" si="5"/>
        <v>6.4634070000000037</v>
      </c>
      <c r="F122" s="91">
        <f>Таблица224627910121314572[[#This Row],[Столбец8]]/Таблица224627910121314572[[#This Row],[Столбец4]]*100-100</f>
        <v>11.877421700735653</v>
      </c>
      <c r="G122" s="91">
        <f>Таблица224627910121314572[[#This Row],[Столбец4]]/$B$6*100</f>
        <v>5.8740608049395238E-2</v>
      </c>
      <c r="H122" s="92">
        <f t="shared" si="4"/>
        <v>5.8548430527773497E-2</v>
      </c>
      <c r="I122" s="128"/>
      <c r="J122" s="128"/>
    </row>
    <row r="123" spans="1:10" s="5" customFormat="1" ht="42" x14ac:dyDescent="0.2">
      <c r="A123" s="98" t="s">
        <v>7</v>
      </c>
      <c r="B123" s="86">
        <f>SUM(B124,B127)</f>
        <v>78.599184000000008</v>
      </c>
      <c r="C123" s="86">
        <f>SUM(C124,C127)</f>
        <v>92.599184000000008</v>
      </c>
      <c r="D123" s="86">
        <f>SUM(D124,D127)</f>
        <v>92.599184000000008</v>
      </c>
      <c r="E123" s="86">
        <f t="shared" si="5"/>
        <v>14</v>
      </c>
      <c r="F123" s="86">
        <f>Таблица224627910121314572[[#This Row],[Столбец8]]/Таблица224627910121314572[[#This Row],[Столбец4]]*100-100</f>
        <v>17.811889751934331</v>
      </c>
      <c r="G123" s="86">
        <f>Таблица224627910121314572[[#This Row],[Столбец4]]/$B$6*100</f>
        <v>8.4843220837538674E-2</v>
      </c>
      <c r="H123" s="87">
        <f t="shared" si="4"/>
        <v>8.9051377134943849E-2</v>
      </c>
      <c r="I123" s="128"/>
      <c r="J123" s="128"/>
    </row>
    <row r="124" spans="1:10" s="5" customFormat="1" ht="21" x14ac:dyDescent="0.2">
      <c r="A124" s="100" t="s">
        <v>27</v>
      </c>
      <c r="B124" s="99">
        <f>B125+B126</f>
        <v>74.816034000000002</v>
      </c>
      <c r="C124" s="99">
        <f>C125+C126</f>
        <v>88.816034000000002</v>
      </c>
      <c r="D124" s="99">
        <f>D125+D126</f>
        <v>88.816034000000002</v>
      </c>
      <c r="E124" s="91">
        <f t="shared" si="5"/>
        <v>14</v>
      </c>
      <c r="F124" s="91">
        <f>Таблица224627910121314572[[#This Row],[Столбец8]]/Таблица224627910121314572[[#This Row],[Столбец4]]*100-100</f>
        <v>18.712566346406433</v>
      </c>
      <c r="G124" s="91">
        <f>Таблица224627910121314572[[#This Row],[Столбец4]]/$B$6*100</f>
        <v>8.0759531738278628E-2</v>
      </c>
      <c r="H124" s="92">
        <f t="shared" si="4"/>
        <v>8.5413173180489313E-2</v>
      </c>
      <c r="I124" s="128"/>
      <c r="J124" s="128"/>
    </row>
    <row r="125" spans="1:10" s="5" customFormat="1" ht="21" x14ac:dyDescent="0.2">
      <c r="A125" s="95" t="s">
        <v>33</v>
      </c>
      <c r="B125" s="99">
        <v>11.487135</v>
      </c>
      <c r="C125" s="99">
        <v>11.487135</v>
      </c>
      <c r="D125" s="99">
        <v>11.487135</v>
      </c>
      <c r="E125" s="91">
        <f t="shared" si="5"/>
        <v>0</v>
      </c>
      <c r="F125" s="91">
        <f>Таблица224627910121314572[[#This Row],[Столбец8]]/Таблица224627910121314572[[#This Row],[Столбец4]]*100-100</f>
        <v>0</v>
      </c>
      <c r="G125" s="91">
        <f>Таблица224627910121314572[[#This Row],[Столбец4]]/$B$6*100</f>
        <v>1.2399690200290371E-2</v>
      </c>
      <c r="H125" s="92">
        <f t="shared" si="4"/>
        <v>1.1047021657178028E-2</v>
      </c>
      <c r="I125" s="128"/>
      <c r="J125" s="128"/>
    </row>
    <row r="126" spans="1:10" s="5" customFormat="1" ht="21" x14ac:dyDescent="0.2">
      <c r="A126" s="95" t="s">
        <v>35</v>
      </c>
      <c r="B126" s="93">
        <v>63.328899</v>
      </c>
      <c r="C126" s="93">
        <f>63.328899+14</f>
        <v>77.328899000000007</v>
      </c>
      <c r="D126" s="93">
        <f>63.328899+14</f>
        <v>77.328899000000007</v>
      </c>
      <c r="E126" s="96">
        <f t="shared" si="5"/>
        <v>14.000000000000007</v>
      </c>
      <c r="F126" s="96">
        <f>Таблица224627910121314572[[#This Row],[Столбец8]]/Таблица224627910121314572[[#This Row],[Столбец4]]*100-100</f>
        <v>22.106810983718518</v>
      </c>
      <c r="G126" s="96">
        <f>Таблица224627910121314572[[#This Row],[Столбец4]]/$B$6*100</f>
        <v>6.8359841537988242E-2</v>
      </c>
      <c r="H126" s="97">
        <f t="shared" si="4"/>
        <v>7.4366151523311289E-2</v>
      </c>
      <c r="I126" s="128"/>
      <c r="J126" s="128"/>
    </row>
    <row r="127" spans="1:10" s="5" customFormat="1" ht="21" x14ac:dyDescent="0.2">
      <c r="A127" s="100" t="s">
        <v>29</v>
      </c>
      <c r="B127" s="99">
        <v>3.78315</v>
      </c>
      <c r="C127" s="99">
        <v>3.78315</v>
      </c>
      <c r="D127" s="99">
        <v>3.78315</v>
      </c>
      <c r="E127" s="91">
        <f t="shared" si="5"/>
        <v>0</v>
      </c>
      <c r="F127" s="91">
        <f>Таблица224627910121314572[[#This Row],[Столбец8]]/Таблица224627910121314572[[#This Row],[Столбец4]]*100-100</f>
        <v>0</v>
      </c>
      <c r="G127" s="91">
        <f>Таблица224627910121314572[[#This Row],[Столбец4]]/$B$6*100</f>
        <v>4.0836890992600426E-3</v>
      </c>
      <c r="H127" s="92">
        <f t="shared" si="4"/>
        <v>3.6382039544545315E-3</v>
      </c>
      <c r="I127" s="128"/>
      <c r="J127" s="128"/>
    </row>
    <row r="128" spans="1:10" s="5" customFormat="1" ht="21" x14ac:dyDescent="0.2">
      <c r="A128" s="98" t="s">
        <v>43</v>
      </c>
      <c r="B128" s="86">
        <f>SUM(B129,)</f>
        <v>3088</v>
      </c>
      <c r="C128" s="86">
        <f>SUM(C129)</f>
        <v>3780.7</v>
      </c>
      <c r="D128" s="86">
        <f>SUM(D129)</f>
        <v>4230.7</v>
      </c>
      <c r="E128" s="86">
        <f t="shared" si="5"/>
        <v>1142.6999999999998</v>
      </c>
      <c r="F128" s="86">
        <f>Таблица224627910121314572[[#This Row],[Столбец8]]/Таблица224627910121314572[[#This Row],[Столбец4]]*100-100</f>
        <v>37.004533678756474</v>
      </c>
      <c r="G128" s="86">
        <f>Таблица224627910121314572[[#This Row],[Столбец4]]/$B$6*100</f>
        <v>3.333315342641717</v>
      </c>
      <c r="H128" s="87">
        <f t="shared" si="4"/>
        <v>4.0686067087244187</v>
      </c>
      <c r="I128" s="128"/>
      <c r="J128" s="128"/>
    </row>
    <row r="129" spans="1:10" s="5" customFormat="1" ht="21" x14ac:dyDescent="0.2">
      <c r="A129" s="100" t="s">
        <v>27</v>
      </c>
      <c r="B129" s="99">
        <v>3088</v>
      </c>
      <c r="C129" s="91">
        <f>3644.6+30+102.1-1+5</f>
        <v>3780.7</v>
      </c>
      <c r="D129" s="91">
        <f>3644.6+30+102.1-22+21-40+495</f>
        <v>4230.7</v>
      </c>
      <c r="E129" s="91">
        <f t="shared" si="5"/>
        <v>1142.6999999999998</v>
      </c>
      <c r="F129" s="91">
        <f>Таблица224627910121314572[[#This Row],[Столбец8]]/Таблица224627910121314572[[#This Row],[Столбец4]]*100-100</f>
        <v>37.004533678756474</v>
      </c>
      <c r="G129" s="91">
        <f>Таблица224627910121314572[[#This Row],[Столбец4]]/$B$6*100</f>
        <v>3.333315342641717</v>
      </c>
      <c r="H129" s="92">
        <f t="shared" si="4"/>
        <v>4.0686067087244187</v>
      </c>
      <c r="I129" s="128"/>
      <c r="J129" s="128"/>
    </row>
    <row r="130" spans="1:10" s="5" customFormat="1" ht="21" x14ac:dyDescent="0.2">
      <c r="A130" s="90" t="s">
        <v>44</v>
      </c>
      <c r="B130" s="99">
        <v>5</v>
      </c>
      <c r="C130" s="91">
        <v>5</v>
      </c>
      <c r="D130" s="91">
        <f>5+495</f>
        <v>500</v>
      </c>
      <c r="E130" s="91">
        <f t="shared" si="5"/>
        <v>495</v>
      </c>
      <c r="F130" s="91" t="s">
        <v>16</v>
      </c>
      <c r="G130" s="91">
        <f>Таблица224627910121314572[[#This Row],[Столбец4]]/$B$6*100</f>
        <v>5.3972074848473396E-3</v>
      </c>
      <c r="H130" s="92">
        <f t="shared" si="4"/>
        <v>0.4808432066471765</v>
      </c>
      <c r="I130" s="128"/>
      <c r="J130" s="128"/>
    </row>
    <row r="131" spans="1:10" s="5" customFormat="1" ht="21" x14ac:dyDescent="0.2">
      <c r="A131" s="101" t="s">
        <v>38</v>
      </c>
      <c r="B131" s="93">
        <v>1045</v>
      </c>
      <c r="C131" s="96">
        <f>1086.958+200</f>
        <v>1286.9580000000001</v>
      </c>
      <c r="D131" s="96">
        <f>1086.958+200</f>
        <v>1286.9580000000001</v>
      </c>
      <c r="E131" s="96">
        <f t="shared" si="5"/>
        <v>241.95800000000008</v>
      </c>
      <c r="F131" s="96">
        <f>Таблица224627910121314572[[#This Row],[Столбец8]]/Таблица224627910121314572[[#This Row],[Столбец4]]*100-100</f>
        <v>23.153875598086131</v>
      </c>
      <c r="G131" s="96">
        <f>Таблица224627910121314572[[#This Row],[Столбец4]]/$B$6*100</f>
        <v>1.128016364333094</v>
      </c>
      <c r="H131" s="97">
        <f t="shared" si="4"/>
        <v>1.2376500230804741</v>
      </c>
      <c r="I131" s="128"/>
      <c r="J131" s="128"/>
    </row>
    <row r="132" spans="1:10" s="5" customFormat="1" ht="21" x14ac:dyDescent="0.2">
      <c r="A132" s="101" t="s">
        <v>39</v>
      </c>
      <c r="B132" s="96">
        <v>153.79</v>
      </c>
      <c r="C132" s="96">
        <v>168</v>
      </c>
      <c r="D132" s="96">
        <v>168</v>
      </c>
      <c r="E132" s="96">
        <f t="shared" si="5"/>
        <v>14.210000000000008</v>
      </c>
      <c r="F132" s="96">
        <f>Таблица224627910121314572[[#This Row],[Столбец8]]/Таблица224627910121314572[[#This Row],[Столбец4]]*100-100</f>
        <v>9.2398725534820159</v>
      </c>
      <c r="G132" s="96">
        <f>Таблица224627910121314572[[#This Row],[Столбец4]]/$B$6*100</f>
        <v>0.16600730781893447</v>
      </c>
      <c r="H132" s="97">
        <f t="shared" si="4"/>
        <v>0.16156331743345129</v>
      </c>
      <c r="I132" s="128"/>
      <c r="J132" s="128"/>
    </row>
    <row r="133" spans="1:10" s="5" customFormat="1" ht="21" x14ac:dyDescent="0.2">
      <c r="A133" s="101" t="s">
        <v>8</v>
      </c>
      <c r="B133" s="96">
        <f>B134+B135</f>
        <v>901.13</v>
      </c>
      <c r="C133" s="96">
        <f>C134+C135</f>
        <v>1168.961</v>
      </c>
      <c r="D133" s="96">
        <f>D134+D135</f>
        <v>1169.761</v>
      </c>
      <c r="E133" s="96">
        <f t="shared" si="5"/>
        <v>268.63099999999997</v>
      </c>
      <c r="F133" s="96">
        <f>Таблица224627910121314572[[#This Row],[Столбец8]]/Таблица224627910121314572[[#This Row],[Столбец4]]*100-100</f>
        <v>29.810460199971146</v>
      </c>
      <c r="G133" s="96">
        <f>Таблица224627910121314572[[#This Row],[Столбец4]]/$B$6*100</f>
        <v>0.97271711616409673</v>
      </c>
      <c r="H133" s="97">
        <f t="shared" si="4"/>
        <v>1.1249432605016156</v>
      </c>
      <c r="I133" s="128"/>
      <c r="J133" s="128"/>
    </row>
    <row r="134" spans="1:10" s="5" customFormat="1" ht="21" x14ac:dyDescent="0.2">
      <c r="A134" s="101" t="s">
        <v>41</v>
      </c>
      <c r="B134" s="96">
        <v>40.03</v>
      </c>
      <c r="C134" s="96">
        <v>109</v>
      </c>
      <c r="D134" s="96">
        <v>109.8</v>
      </c>
      <c r="E134" s="96">
        <f t="shared" si="5"/>
        <v>69.77</v>
      </c>
      <c r="F134" s="96">
        <f>Таблица224627910121314572[[#This Row],[Столбец8]]/Таблица224627910121314572[[#This Row],[Столбец4]]*100-100</f>
        <v>174.29427929053207</v>
      </c>
      <c r="G134" s="96">
        <f>Таблица224627910121314572[[#This Row],[Столбец4]]/$B$6*100</f>
        <v>4.3210043123687807E-2</v>
      </c>
      <c r="H134" s="97">
        <f t="shared" si="4"/>
        <v>0.10559316817971996</v>
      </c>
      <c r="I134" s="128"/>
      <c r="J134" s="128"/>
    </row>
    <row r="135" spans="1:10" s="5" customFormat="1" ht="21" x14ac:dyDescent="0.2">
      <c r="A135" s="101" t="s">
        <v>40</v>
      </c>
      <c r="B135" s="96">
        <v>861.1</v>
      </c>
      <c r="C135" s="96">
        <v>1059.961</v>
      </c>
      <c r="D135" s="96">
        <v>1059.961</v>
      </c>
      <c r="E135" s="96">
        <f t="shared" si="5"/>
        <v>198.86099999999999</v>
      </c>
      <c r="F135" s="96">
        <f>Таблица224627910121314572[[#This Row],[Столбец8]]/Таблица224627910121314572[[#This Row],[Столбец4]]*100-100</f>
        <v>23.093833468818943</v>
      </c>
      <c r="G135" s="96">
        <f>Таблица224627910121314572[[#This Row],[Столбец4]]/$B$6*100</f>
        <v>0.92950707304040892</v>
      </c>
      <c r="H135" s="97">
        <f t="shared" si="4"/>
        <v>1.0193500923218957</v>
      </c>
      <c r="I135" s="128"/>
      <c r="J135" s="128"/>
    </row>
    <row r="136" spans="1:10" s="7" customFormat="1" ht="21" x14ac:dyDescent="0.2">
      <c r="A136" s="102" t="s">
        <v>42</v>
      </c>
      <c r="B136" s="103">
        <f>B12-B24</f>
        <v>-463.16144299999723</v>
      </c>
      <c r="C136" s="103">
        <f>C12-C24</f>
        <v>-247.50766900000235</v>
      </c>
      <c r="D136" s="103">
        <f>D12-D24</f>
        <v>-552.8269309999996</v>
      </c>
      <c r="E136" s="103">
        <f t="shared" si="5"/>
        <v>-89.66548800000237</v>
      </c>
      <c r="F136" s="103">
        <f>Таблица224627910121314572[[#This Row],[Столбец8]]/Таблица224627910121314572[[#This Row],[Столбец4]]*100-100</f>
        <v>19.359445686847238</v>
      </c>
      <c r="G136" s="103">
        <f>Таблица224627910121314572[[#This Row],[Столбец4]]/$B$6*100</f>
        <v>-0.49995568137045593</v>
      </c>
      <c r="H136" s="104">
        <f>D136/$D$6*100</f>
        <v>-0.5316461484459144</v>
      </c>
      <c r="I136" s="130"/>
      <c r="J136" s="130"/>
    </row>
    <row r="137" spans="1:10" ht="22.5" hidden="1" x14ac:dyDescent="0.2">
      <c r="A137" s="67"/>
      <c r="B137" s="68"/>
      <c r="C137" s="69"/>
      <c r="D137" s="69">
        <f>D6*0.5%</f>
        <v>519.91999999999996</v>
      </c>
      <c r="E137" s="70"/>
      <c r="F137" s="71"/>
      <c r="G137" s="72"/>
      <c r="H137" s="73"/>
      <c r="I137"/>
      <c r="J137"/>
    </row>
    <row r="138" spans="1:10" ht="42" hidden="1" x14ac:dyDescent="0.2">
      <c r="A138" s="39" t="s">
        <v>67</v>
      </c>
      <c r="B138" s="47">
        <f>B136-B140-B142</f>
        <v>-1104.1614429999972</v>
      </c>
      <c r="C138" s="47">
        <f>C136-C140-C142</f>
        <v>-1451.9076690000024</v>
      </c>
      <c r="D138" s="47">
        <f>D136-D140-D142</f>
        <v>-1757.2269309999997</v>
      </c>
      <c r="E138" s="47">
        <f>D138-B138</f>
        <v>-653.06548800000246</v>
      </c>
      <c r="F138" s="40"/>
      <c r="G138" s="40"/>
      <c r="H138" s="40"/>
    </row>
    <row r="139" spans="1:10" ht="13.5" hidden="1" customHeight="1" x14ac:dyDescent="0.2">
      <c r="B139" s="48"/>
      <c r="C139" s="49"/>
      <c r="D139" s="50"/>
      <c r="E139" s="51"/>
      <c r="F139" s="2"/>
      <c r="G139" s="2"/>
    </row>
    <row r="140" spans="1:10" ht="18.95" hidden="1" customHeight="1" x14ac:dyDescent="0.2">
      <c r="A140" s="41" t="s">
        <v>68</v>
      </c>
      <c r="B140" s="52">
        <v>442</v>
      </c>
      <c r="C140" s="53">
        <v>884</v>
      </c>
      <c r="D140" s="53">
        <v>884</v>
      </c>
      <c r="E140" s="47">
        <f>D140-B140</f>
        <v>442</v>
      </c>
      <c r="F140" s="40"/>
      <c r="G140" s="40"/>
      <c r="H140" s="40"/>
    </row>
    <row r="141" spans="1:10" ht="13.5" hidden="1" customHeight="1" x14ac:dyDescent="0.2">
      <c r="A141" s="42"/>
      <c r="B141" s="54"/>
      <c r="C141" s="55"/>
      <c r="D141" s="54"/>
      <c r="E141" s="56"/>
      <c r="F141" s="2"/>
      <c r="G141" s="2"/>
    </row>
    <row r="142" spans="1:10" ht="22.5" hidden="1" x14ac:dyDescent="0.2">
      <c r="A142" s="41" t="s">
        <v>69</v>
      </c>
      <c r="B142" s="52">
        <v>199</v>
      </c>
      <c r="C142" s="52">
        <v>320.39999999999998</v>
      </c>
      <c r="D142" s="52">
        <v>320.39999999999998</v>
      </c>
      <c r="E142" s="47">
        <f>D142-B142</f>
        <v>121.39999999999998</v>
      </c>
      <c r="F142" s="40"/>
      <c r="G142" s="40"/>
      <c r="H142" s="40"/>
    </row>
    <row r="143" spans="1:10" ht="22.5" hidden="1" x14ac:dyDescent="0.2">
      <c r="A143" s="43"/>
      <c r="B143" s="57"/>
      <c r="C143" s="58"/>
      <c r="D143" s="58"/>
      <c r="E143" s="58"/>
      <c r="F143" s="2"/>
      <c r="G143" s="2"/>
    </row>
    <row r="144" spans="1:10" ht="22.5" hidden="1" x14ac:dyDescent="0.2">
      <c r="A144" s="44"/>
      <c r="B144" s="59">
        <f>B12-B22</f>
        <v>25305.604319999999</v>
      </c>
      <c r="C144" s="59">
        <f>C12-C22</f>
        <v>27257.162150000004</v>
      </c>
      <c r="D144" s="59">
        <f>D12-D22</f>
        <v>28300.873149999999</v>
      </c>
      <c r="E144" s="59">
        <f>E12-E22</f>
        <v>2995.2688299999982</v>
      </c>
      <c r="F144" s="2"/>
      <c r="G144" s="2"/>
    </row>
    <row r="145" spans="1:8" ht="22.5" hidden="1" x14ac:dyDescent="0.2">
      <c r="B145" s="60">
        <f>B24-B131</f>
        <v>27063.956545999998</v>
      </c>
      <c r="C145" s="60">
        <f>C24-C131-C132</f>
        <v>29050.367819000006</v>
      </c>
      <c r="D145" s="60">
        <f>D24-D131-D132</f>
        <v>30399.398080999999</v>
      </c>
      <c r="E145" s="60">
        <f>E24-E131-E132</f>
        <v>3489.2315350000003</v>
      </c>
      <c r="F145" s="2"/>
      <c r="G145" s="2"/>
    </row>
    <row r="146" spans="1:8" ht="42" hidden="1" x14ac:dyDescent="0.2">
      <c r="A146" s="39" t="s">
        <v>73</v>
      </c>
      <c r="B146" s="61">
        <f>B144-B145</f>
        <v>-1758.3522259999991</v>
      </c>
      <c r="C146" s="61">
        <f>C144-C145</f>
        <v>-1793.2056690000027</v>
      </c>
      <c r="D146" s="61">
        <f>D144-D145</f>
        <v>-2098.5249309999999</v>
      </c>
      <c r="E146" s="61">
        <f>D146-B146</f>
        <v>-340.17270500000086</v>
      </c>
      <c r="F146" s="40"/>
      <c r="G146" s="40"/>
      <c r="H146" s="40"/>
    </row>
    <row r="147" spans="1:8" ht="22.5" hidden="1" x14ac:dyDescent="0.2">
      <c r="A147" s="45" t="s">
        <v>70</v>
      </c>
      <c r="B147" s="62">
        <f>B146*100/B6</f>
        <v>-1.8980383590330354</v>
      </c>
      <c r="C147" s="62">
        <f>C146*100/C6</f>
        <v>-1.7248332778654176</v>
      </c>
      <c r="D147" s="62">
        <f>D146*100/D6</f>
        <v>-2.0181229141021695</v>
      </c>
      <c r="E147" s="62"/>
      <c r="F147" s="2"/>
      <c r="G147" s="2"/>
    </row>
    <row r="148" spans="1:8" ht="22.5" hidden="1" x14ac:dyDescent="0.2">
      <c r="B148" s="48"/>
      <c r="C148" s="49"/>
      <c r="D148" s="63"/>
      <c r="E148" s="51"/>
      <c r="F148" s="2"/>
      <c r="G148" s="2"/>
    </row>
    <row r="149" spans="1:8" ht="22.5" hidden="1" x14ac:dyDescent="0.2">
      <c r="A149" s="46" t="s">
        <v>71</v>
      </c>
      <c r="B149" s="304" t="s">
        <v>72</v>
      </c>
      <c r="C149" s="304"/>
      <c r="D149" s="304"/>
      <c r="E149" s="304"/>
      <c r="F149" s="2"/>
      <c r="G149" s="2"/>
    </row>
    <row r="150" spans="1:8" ht="22.5" hidden="1" x14ac:dyDescent="0.2">
      <c r="B150" s="48"/>
      <c r="C150" s="49"/>
      <c r="D150" s="65">
        <f>D136+Таблица224627910121314572[[#Totals],[Столбец8]]</f>
        <v>-32.906930999999645</v>
      </c>
      <c r="E150" s="64"/>
    </row>
    <row r="151" spans="1:8" hidden="1" x14ac:dyDescent="0.2"/>
    <row r="152" spans="1:8" x14ac:dyDescent="0.2">
      <c r="D152" s="2">
        <v>-519</v>
      </c>
    </row>
    <row r="153" spans="1:8" x14ac:dyDescent="0.2">
      <c r="D153" s="131">
        <f>D136-D152</f>
        <v>-33.826930999999604</v>
      </c>
    </row>
  </sheetData>
  <mergeCells count="3">
    <mergeCell ref="F1:G1"/>
    <mergeCell ref="A3:H3"/>
    <mergeCell ref="B149:E149"/>
  </mergeCells>
  <pageMargins left="0.39" right="0.27559055118110237" top="0.39" bottom="0.67" header="0.31496062992125984" footer="0.31496062992125984"/>
  <pageSetup paperSize="9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34</vt:i4>
      </vt:variant>
    </vt:vector>
  </HeadingPairs>
  <TitlesOfParts>
    <vt:vector size="43" baseType="lpstr">
      <vt:lpstr>2022 111</vt:lpstr>
      <vt:lpstr>2024</vt:lpstr>
      <vt:lpstr>2025 (7 05 2024)</vt:lpstr>
      <vt:lpstr>Варианти 1</vt:lpstr>
      <vt:lpstr>2025</vt:lpstr>
      <vt:lpstr>Варианти 3</vt:lpstr>
      <vt:lpstr>2026-2027</vt:lpstr>
      <vt:lpstr>2023 -2024</vt:lpstr>
      <vt:lpstr>2022 (+500)</vt:lpstr>
      <vt:lpstr>'2022 (+500)'!Print_Area</vt:lpstr>
      <vt:lpstr>'2022 111'!Print_Area</vt:lpstr>
      <vt:lpstr>'2023 -2024'!Print_Area</vt:lpstr>
      <vt:lpstr>'2024'!Print_Area</vt:lpstr>
      <vt:lpstr>'2025'!Print_Area</vt:lpstr>
      <vt:lpstr>'2025 (7 05 2024)'!Print_Area</vt:lpstr>
      <vt:lpstr>'Варианти 1'!Print_Area</vt:lpstr>
      <vt:lpstr>'Варианти 3'!Print_Area</vt:lpstr>
      <vt:lpstr>'2022 (+500)'!Print_Titles</vt:lpstr>
      <vt:lpstr>'2022 111'!Print_Titles</vt:lpstr>
      <vt:lpstr>'2023 -2024'!Print_Titles</vt:lpstr>
      <vt:lpstr>'2024'!Print_Titles</vt:lpstr>
      <vt:lpstr>'2025'!Print_Titles</vt:lpstr>
      <vt:lpstr>'2025 (7 05 2024)'!Print_Titles</vt:lpstr>
      <vt:lpstr>'Варианти 1'!Print_Titles</vt:lpstr>
      <vt:lpstr>'Варианти 3'!Print_Titles</vt:lpstr>
      <vt:lpstr>'2022 (+500)'!Заголовки_для_печати</vt:lpstr>
      <vt:lpstr>'2022 111'!Заголовки_для_печати</vt:lpstr>
      <vt:lpstr>'2023 -2024'!Заголовки_для_печати</vt:lpstr>
      <vt:lpstr>'2024'!Заголовки_для_печати</vt:lpstr>
      <vt:lpstr>'2025'!Заголовки_для_печати</vt:lpstr>
      <vt:lpstr>'2025 (7 05 2024)'!Заголовки_для_печати</vt:lpstr>
      <vt:lpstr>'2026-2027'!Заголовки_для_печати</vt:lpstr>
      <vt:lpstr>'Варианти 1'!Заголовки_для_печати</vt:lpstr>
      <vt:lpstr>'Варианти 3'!Заголовки_для_печати</vt:lpstr>
      <vt:lpstr>'2022 (+500)'!Область_печати</vt:lpstr>
      <vt:lpstr>'2022 111'!Область_печати</vt:lpstr>
      <vt:lpstr>'2023 -2024'!Область_печати</vt:lpstr>
      <vt:lpstr>'2024'!Область_печати</vt:lpstr>
      <vt:lpstr>'2025'!Область_печати</vt:lpstr>
      <vt:lpstr>'2025 (7 05 2024)'!Область_печати</vt:lpstr>
      <vt:lpstr>'2026-2027'!Область_печати</vt:lpstr>
      <vt:lpstr>'Варианти 1'!Область_печати</vt:lpstr>
      <vt:lpstr>'Варианти 3'!Область_печати</vt:lpstr>
    </vt:vector>
  </TitlesOfParts>
  <Company>MinFin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Acronis</dc:creator>
  <cp:lastModifiedBy>Sharifov Khisrav</cp:lastModifiedBy>
  <cp:lastPrinted>2024-11-29T06:00:58Z</cp:lastPrinted>
  <dcterms:created xsi:type="dcterms:W3CDTF">2011-08-20T05:54:07Z</dcterms:created>
  <dcterms:modified xsi:type="dcterms:W3CDTF">2024-11-29T06:01:32Z</dcterms:modified>
</cp:coreProperties>
</file>