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hidePivotFieldList="1" defaultThemeVersion="124226"/>
  <xr:revisionPtr revIDLastSave="0" documentId="13_ncr:1_{FDD667F0-99EB-4DF6-9D42-F8C8668A8354}" xr6:coauthVersionLast="47" xr6:coauthVersionMax="47" xr10:uidLastSave="{00000000-0000-0000-0000-000000000000}"/>
  <bookViews>
    <workbookView showHorizontalScroll="0" showVerticalScroll="0" xWindow="-120" yWindow="-120" windowWidth="38640" windowHeight="21120" tabRatio="830" firstSheet="12" activeTab="12" xr2:uid="{00000000-000D-0000-FFFF-FFFF00000000}"/>
  </bookViews>
  <sheets>
    <sheet name="- 500 mln-31.12.24" sheetId="26" state="hidden" r:id="rId1"/>
    <sheet name="Қарзи БМТ 1165_31.12.24" sheetId="8" state="hidden" r:id="rId2"/>
    <sheet name="Ба Вазир 31.12.23" sheetId="60" state="hidden" r:id="rId3"/>
    <sheet name="01.04.24" sheetId="62" state="hidden" r:id="rId4"/>
    <sheet name="01.07.24" sheetId="71" state="hidden" r:id="rId5"/>
    <sheet name="ММД кв2" sheetId="68" state="hidden" r:id="rId6"/>
    <sheet name="31.05.24" sheetId="66" state="hidden" r:id="rId7"/>
    <sheet name="30.04.24" sheetId="72" state="hidden" r:id="rId8"/>
    <sheet name="Ба Вазир 29.05.24 БМТ" sheetId="69" state="hidden" r:id="rId9"/>
    <sheet name="30.06.24 НБТ" sheetId="73" state="hidden" r:id="rId10"/>
    <sheet name="- 500 mln-31.12.23" sheetId="63" state="hidden" r:id="rId11"/>
    <sheet name="30.09.24" sheetId="76" state="hidden" r:id="rId12"/>
    <sheet name="4-квартал" sheetId="78" r:id="rId13"/>
    <sheet name="Лист1" sheetId="82" state="hidden" r:id="rId14"/>
    <sheet name="31.12.24 БМТ-МВФ" sheetId="75" state="hidden" r:id="rId15"/>
    <sheet name="diagramma-practice" sheetId="79" state="hidden" r:id="rId16"/>
    <sheet name="2025-2027" sheetId="80" state="hidden" r:id="rId17"/>
    <sheet name="1165-Апи Тахмин" sheetId="61" state="hidden" r:id="rId18"/>
    <sheet name="Вазир 2024-2026" sheetId="47" state="hidden" r:id="rId19"/>
    <sheet name="30.06.24 (2)" sheetId="74" state="hidden" r:id="rId20"/>
  </sheets>
  <externalReferences>
    <externalReference r:id="rId21"/>
    <externalReference r:id="rId22"/>
  </externalReferences>
  <definedNames>
    <definedName name="_xlcn.WorksheetConnection_қарздориидарназдиБМТA1A131" hidden="1">'[1]қарздории дар назди БМТ'!$A$1:$A$13</definedName>
    <definedName name="_xlnm.Print_Area" localSheetId="0">'- 500 mln-31.12.24'!$A$1:$J$74</definedName>
    <definedName name="_xlnm.Print_Area" localSheetId="3">'01.04.24'!$A$1:$L$21</definedName>
    <definedName name="_xlnm.Print_Area" localSheetId="4">'01.07.24'!$A$1:$N$25</definedName>
    <definedName name="_xlnm.Print_Area" localSheetId="17">'1165-Апи Тахмин'!$A$1:$M$31</definedName>
    <definedName name="_xlnm.Print_Area" localSheetId="16">'2025-2027'!$A$1:$O$14</definedName>
    <definedName name="_xlnm.Print_Area" localSheetId="7">'30.04.24'!$A$1:$L$13</definedName>
    <definedName name="_xlnm.Print_Area" localSheetId="19">'30.06.24 (2)'!$A$1:$N$9</definedName>
    <definedName name="_xlnm.Print_Area" localSheetId="9">'30.06.24 НБТ'!$A$1:$I$9</definedName>
    <definedName name="_xlnm.Print_Area" localSheetId="11">'30.09.24'!$A$1:$L$29</definedName>
    <definedName name="_xlnm.Print_Area" localSheetId="6">'31.05.24'!$A$1:$L$23</definedName>
    <definedName name="_xlnm.Print_Area" localSheetId="14">'31.12.24 БМТ-МВФ'!$A$1:$N$10</definedName>
    <definedName name="_xlnm.Print_Area" localSheetId="12">'4-квартал'!$A$1:$M$36</definedName>
    <definedName name="_xlnm.Print_Area" localSheetId="15">'diagramma-practice'!#REF!</definedName>
    <definedName name="_xlnm.Print_Area" localSheetId="8">'Ба Вазир 29.05.24 БМТ'!$A$1:$L$10</definedName>
    <definedName name="_xlnm.Print_Area" localSheetId="2">'Ба Вазир 31.12.23'!$A$1:$K$20</definedName>
    <definedName name="_xlnm.Print_Area" localSheetId="18">'Вазир 2024-2026'!$A$1:$J$10</definedName>
    <definedName name="_xlnm.Print_Area" localSheetId="1">'Қарзи БМТ 1165_31.12.24'!$A$1:$N$124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-6001b6df-3d5c-448c-8547-2fe6d42f60ff" name="Диапазон" connection="WorksheetConnection_қарздории дар назди БМТ!$A$1:$A$1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2" l="1"/>
  <c r="F5" i="82" s="1"/>
  <c r="D22" i="82"/>
  <c r="E28" i="82" s="1"/>
  <c r="D19" i="82"/>
  <c r="F19" i="82" s="1"/>
  <c r="D16" i="82"/>
  <c r="C16" i="82"/>
  <c r="C21" i="82" s="1"/>
  <c r="E15" i="82"/>
  <c r="F15" i="82" s="1"/>
  <c r="E14" i="82"/>
  <c r="F14" i="82" s="1"/>
  <c r="E13" i="82"/>
  <c r="F13" i="82" s="1"/>
  <c r="E12" i="82"/>
  <c r="F12" i="82" s="1"/>
  <c r="E11" i="82"/>
  <c r="F11" i="82" s="1"/>
  <c r="E10" i="82"/>
  <c r="F10" i="82" s="1"/>
  <c r="E9" i="82"/>
  <c r="F9" i="82" s="1"/>
  <c r="E8" i="82"/>
  <c r="F8" i="82" s="1"/>
  <c r="E7" i="82"/>
  <c r="F7" i="82" s="1"/>
  <c r="E6" i="82"/>
  <c r="F6" i="82" s="1"/>
  <c r="C23" i="82" l="1"/>
  <c r="E16" i="82"/>
  <c r="E26" i="82" s="1"/>
  <c r="F16" i="82"/>
  <c r="F22" i="82"/>
  <c r="D20" i="82"/>
  <c r="F20" i="82" s="1"/>
  <c r="D23" i="82" l="1"/>
  <c r="F23" i="82" s="1"/>
  <c r="D21" i="82"/>
  <c r="F21" i="82" s="1"/>
  <c r="L116" i="8" l="1"/>
  <c r="K116" i="8"/>
  <c r="M38" i="8" l="1"/>
  <c r="I38" i="8"/>
  <c r="L38" i="8"/>
  <c r="O37" i="8"/>
  <c r="G37" i="8"/>
  <c r="K95" i="75" l="1"/>
  <c r="K93" i="75"/>
  <c r="I93" i="75"/>
  <c r="H93" i="75"/>
  <c r="D93" i="75"/>
  <c r="M92" i="75"/>
  <c r="L92" i="75"/>
  <c r="M91" i="75"/>
  <c r="M93" i="75" s="1"/>
  <c r="L91" i="75"/>
  <c r="L90" i="75"/>
  <c r="J89" i="75"/>
  <c r="J93" i="75" s="1"/>
  <c r="J94" i="75" s="1"/>
  <c r="L88" i="75"/>
  <c r="L89" i="75" l="1"/>
  <c r="L93" i="75" s="1"/>
  <c r="N94" i="75" s="1"/>
  <c r="F70" i="26" l="1"/>
  <c r="K79" i="75" l="1"/>
  <c r="I79" i="75"/>
  <c r="H79" i="75"/>
  <c r="D79" i="75"/>
  <c r="M78" i="75"/>
  <c r="M79" i="75" s="1"/>
  <c r="L78" i="75"/>
  <c r="J77" i="75"/>
  <c r="L77" i="75" s="1"/>
  <c r="J76" i="75"/>
  <c r="L76" i="75" s="1"/>
  <c r="L75" i="75"/>
  <c r="L79" i="75" l="1"/>
  <c r="J79" i="75"/>
  <c r="J80" i="75" s="1"/>
  <c r="D9" i="75"/>
  <c r="K9" i="75"/>
  <c r="J9" i="75"/>
  <c r="J10" i="75" l="1"/>
  <c r="O13" i="8"/>
  <c r="P13" i="8" s="1"/>
  <c r="N12" i="8"/>
  <c r="O12" i="8" s="1"/>
  <c r="P12" i="8" l="1"/>
  <c r="O36" i="8"/>
  <c r="W71" i="26" l="1"/>
  <c r="V71" i="26"/>
  <c r="T69" i="26"/>
  <c r="T68" i="26"/>
  <c r="T67" i="26"/>
  <c r="X67" i="26" s="1"/>
  <c r="P67" i="26"/>
  <c r="P68" i="26" s="1"/>
  <c r="T66" i="26"/>
  <c r="W65" i="26"/>
  <c r="V65" i="26"/>
  <c r="T64" i="26"/>
  <c r="P64" i="26"/>
  <c r="X64" i="26" s="1"/>
  <c r="T63" i="26"/>
  <c r="W62" i="26"/>
  <c r="V62" i="26"/>
  <c r="T61" i="26"/>
  <c r="T60" i="26"/>
  <c r="T59" i="26"/>
  <c r="W58" i="26"/>
  <c r="V58" i="26"/>
  <c r="T57" i="26"/>
  <c r="T58" i="26" s="1"/>
  <c r="W56" i="26"/>
  <c r="V56" i="26"/>
  <c r="T55" i="26"/>
  <c r="T54" i="26"/>
  <c r="T53" i="26"/>
  <c r="T52" i="26"/>
  <c r="T51" i="26"/>
  <c r="T50" i="26"/>
  <c r="T49" i="26"/>
  <c r="T48" i="26"/>
  <c r="T47" i="26"/>
  <c r="T46" i="26"/>
  <c r="T45" i="26"/>
  <c r="T44" i="26"/>
  <c r="T43" i="26"/>
  <c r="T42" i="26"/>
  <c r="T41" i="26"/>
  <c r="T40" i="26"/>
  <c r="T39" i="26"/>
  <c r="T38" i="26"/>
  <c r="T37" i="26"/>
  <c r="T36" i="26"/>
  <c r="T35" i="26"/>
  <c r="T34" i="26"/>
  <c r="T33" i="26"/>
  <c r="T32" i="26"/>
  <c r="V31" i="26"/>
  <c r="V72" i="26" s="1"/>
  <c r="P29" i="26"/>
  <c r="U29" i="26" s="1"/>
  <c r="X29" i="26" s="1"/>
  <c r="W28" i="26"/>
  <c r="W31" i="26" s="1"/>
  <c r="U28" i="26"/>
  <c r="X28" i="26" s="1"/>
  <c r="W27" i="26"/>
  <c r="T27" i="26"/>
  <c r="U26" i="26"/>
  <c r="U27" i="26" s="1"/>
  <c r="X27" i="26" s="1"/>
  <c r="W25" i="26"/>
  <c r="T25" i="26"/>
  <c r="U24" i="26"/>
  <c r="U25" i="26" s="1"/>
  <c r="X25" i="26" s="1"/>
  <c r="T23" i="26"/>
  <c r="U22" i="26"/>
  <c r="U23" i="26" s="1"/>
  <c r="T20" i="26"/>
  <c r="T21" i="26" s="1"/>
  <c r="W19" i="26"/>
  <c r="U18" i="26"/>
  <c r="X18" i="26" s="1"/>
  <c r="U17" i="26"/>
  <c r="X17" i="26" s="1"/>
  <c r="R17" i="26"/>
  <c r="R16" i="26"/>
  <c r="T16" i="26" s="1"/>
  <c r="U16" i="26" s="1"/>
  <c r="X16" i="26" s="1"/>
  <c r="T15" i="26"/>
  <c r="U15" i="26" s="1"/>
  <c r="U14" i="26"/>
  <c r="X14" i="26" s="1"/>
  <c r="W13" i="26"/>
  <c r="U12" i="26"/>
  <c r="X12" i="26" s="1"/>
  <c r="R12" i="26"/>
  <c r="T11" i="26"/>
  <c r="T13" i="26" s="1"/>
  <c r="U10" i="26"/>
  <c r="X10" i="26" s="1"/>
  <c r="R10" i="26"/>
  <c r="W9" i="26"/>
  <c r="R8" i="26"/>
  <c r="T8" i="26" s="1"/>
  <c r="U8" i="26" s="1"/>
  <c r="X8" i="26" s="1"/>
  <c r="T7" i="26"/>
  <c r="U7" i="26" s="1"/>
  <c r="X7" i="26" s="1"/>
  <c r="T6" i="26"/>
  <c r="U6" i="26" s="1"/>
  <c r="T56" i="26" l="1"/>
  <c r="T62" i="26"/>
  <c r="X68" i="26"/>
  <c r="P69" i="26"/>
  <c r="X69" i="26" s="1"/>
  <c r="X26" i="26"/>
  <c r="U20" i="26"/>
  <c r="U21" i="26" s="1"/>
  <c r="W21" i="26"/>
  <c r="W23" i="26" s="1"/>
  <c r="X23" i="26" s="1"/>
  <c r="X63" i="26"/>
  <c r="X65" i="26" s="1"/>
  <c r="U65" i="26"/>
  <c r="X15" i="26"/>
  <c r="U19" i="26"/>
  <c r="X66" i="26"/>
  <c r="X71" i="26" s="1"/>
  <c r="U71" i="26"/>
  <c r="X19" i="26"/>
  <c r="U9" i="26"/>
  <c r="W72" i="26"/>
  <c r="X6" i="26"/>
  <c r="X9" i="26" s="1"/>
  <c r="X22" i="26"/>
  <c r="T9" i="26"/>
  <c r="X24" i="26"/>
  <c r="P30" i="26"/>
  <c r="T71" i="26"/>
  <c r="T65" i="26"/>
  <c r="X20" i="26"/>
  <c r="U11" i="26"/>
  <c r="M118" i="8"/>
  <c r="M119" i="8"/>
  <c r="M120" i="8"/>
  <c r="M121" i="8"/>
  <c r="M122" i="8"/>
  <c r="M117" i="8"/>
  <c r="M116" i="8"/>
  <c r="T72" i="26" l="1"/>
  <c r="X21" i="26"/>
  <c r="P32" i="26"/>
  <c r="U30" i="26"/>
  <c r="X11" i="26"/>
  <c r="X13" i="26" s="1"/>
  <c r="U13" i="26"/>
  <c r="X30" i="26" l="1"/>
  <c r="X31" i="26" s="1"/>
  <c r="U31" i="26"/>
  <c r="P33" i="26"/>
  <c r="X32" i="26" l="1"/>
  <c r="X33" i="26"/>
  <c r="P34" i="26"/>
  <c r="P35" i="26" l="1"/>
  <c r="X34" i="26"/>
  <c r="P36" i="26" l="1"/>
  <c r="X35" i="26"/>
  <c r="P37" i="26" l="1"/>
  <c r="X36" i="26"/>
  <c r="L9" i="80"/>
  <c r="M8" i="80"/>
  <c r="M6" i="80"/>
  <c r="M5" i="80"/>
  <c r="C9" i="79"/>
  <c r="P38" i="26" l="1"/>
  <c r="X37" i="26"/>
  <c r="P39" i="26" l="1"/>
  <c r="X38" i="26"/>
  <c r="X39" i="26" l="1"/>
  <c r="P40" i="26"/>
  <c r="P41" i="26" l="1"/>
  <c r="X40" i="26"/>
  <c r="P42" i="26" l="1"/>
  <c r="X41" i="26"/>
  <c r="P43" i="26" l="1"/>
  <c r="X42" i="26"/>
  <c r="K5" i="76"/>
  <c r="K6" i="76"/>
  <c r="X43" i="26" l="1"/>
  <c r="P44" i="26"/>
  <c r="I62" i="26"/>
  <c r="H62" i="26"/>
  <c r="G14" i="26"/>
  <c r="P45" i="26" l="1"/>
  <c r="X44" i="26"/>
  <c r="E181" i="8"/>
  <c r="M189" i="8"/>
  <c r="L189" i="8"/>
  <c r="I189" i="8"/>
  <c r="G188" i="8"/>
  <c r="G187" i="8"/>
  <c r="G186" i="8"/>
  <c r="G185" i="8"/>
  <c r="G184" i="8"/>
  <c r="G183" i="8"/>
  <c r="G182" i="8"/>
  <c r="G181" i="8"/>
  <c r="G180" i="8"/>
  <c r="J180" i="8" s="1"/>
  <c r="P46" i="26" l="1"/>
  <c r="X45" i="26"/>
  <c r="G189" i="8"/>
  <c r="K180" i="8"/>
  <c r="H24" i="76"/>
  <c r="P47" i="26" l="1"/>
  <c r="X46" i="26"/>
  <c r="J181" i="8"/>
  <c r="E182" i="8"/>
  <c r="E183" i="8" s="1"/>
  <c r="N180" i="8"/>
  <c r="X47" i="26" l="1"/>
  <c r="P48" i="26"/>
  <c r="J182" i="8"/>
  <c r="K182" i="8" s="1"/>
  <c r="K181" i="8"/>
  <c r="N181" i="8" s="1"/>
  <c r="O8" i="80"/>
  <c r="O6" i="80"/>
  <c r="O5" i="80"/>
  <c r="O9" i="80" s="1"/>
  <c r="O12" i="80"/>
  <c r="N12" i="80"/>
  <c r="M12" i="80"/>
  <c r="L12" i="80"/>
  <c r="L13" i="80" s="1"/>
  <c r="N8" i="80"/>
  <c r="J8" i="80"/>
  <c r="N6" i="80"/>
  <c r="N5" i="80"/>
  <c r="N9" i="80" s="1"/>
  <c r="N13" i="80" l="1"/>
  <c r="O13" i="80"/>
  <c r="P49" i="26"/>
  <c r="X48" i="26"/>
  <c r="N182" i="8"/>
  <c r="M9" i="80"/>
  <c r="M13" i="80" s="1"/>
  <c r="X49" i="26" l="1"/>
  <c r="P50" i="26"/>
  <c r="K12" i="80"/>
  <c r="J12" i="80"/>
  <c r="I12" i="80"/>
  <c r="H12" i="80"/>
  <c r="D12" i="80"/>
  <c r="I9" i="80"/>
  <c r="I13" i="80" s="1"/>
  <c r="H9" i="80"/>
  <c r="D7" i="80"/>
  <c r="K6" i="80"/>
  <c r="K5" i="80"/>
  <c r="J4" i="80"/>
  <c r="D4" i="80"/>
  <c r="P51" i="26" l="1"/>
  <c r="X50" i="26"/>
  <c r="K9" i="80"/>
  <c r="K13" i="80" s="1"/>
  <c r="H13" i="80"/>
  <c r="D9" i="80"/>
  <c r="D13" i="80" s="1"/>
  <c r="J9" i="80"/>
  <c r="J13" i="80" s="1"/>
  <c r="X51" i="26" l="1"/>
  <c r="P52" i="26"/>
  <c r="E184" i="8"/>
  <c r="E185" i="8" s="1"/>
  <c r="J183" i="8"/>
  <c r="P53" i="26" l="1"/>
  <c r="X52" i="26"/>
  <c r="J184" i="8"/>
  <c r="K184" i="8" s="1"/>
  <c r="K183" i="8"/>
  <c r="N183" i="8" s="1"/>
  <c r="J123" i="8"/>
  <c r="X53" i="26" l="1"/>
  <c r="P54" i="26"/>
  <c r="N184" i="8"/>
  <c r="N20" i="75"/>
  <c r="P55" i="26" l="1"/>
  <c r="X54" i="26"/>
  <c r="E186" i="8"/>
  <c r="E187" i="8" s="1"/>
  <c r="J185" i="8"/>
  <c r="K185" i="8" s="1"/>
  <c r="N185" i="8" s="1"/>
  <c r="P57" i="26" l="1"/>
  <c r="J186" i="8"/>
  <c r="K186" i="8" s="1"/>
  <c r="X55" i="26" l="1"/>
  <c r="X56" i="26" s="1"/>
  <c r="U56" i="26"/>
  <c r="P59" i="26"/>
  <c r="N186" i="8"/>
  <c r="U58" i="26" l="1"/>
  <c r="X57" i="26"/>
  <c r="X58" i="26" s="1"/>
  <c r="P60" i="26"/>
  <c r="E188" i="8"/>
  <c r="J188" i="8" s="1"/>
  <c r="J187" i="8"/>
  <c r="K187" i="8" s="1"/>
  <c r="N187" i="8" s="1"/>
  <c r="X60" i="26" l="1"/>
  <c r="P61" i="26"/>
  <c r="X61" i="26" s="1"/>
  <c r="U62" i="26"/>
  <c r="U72" i="26" s="1"/>
  <c r="X59" i="26"/>
  <c r="K188" i="8"/>
  <c r="K189" i="8" s="1"/>
  <c r="J189" i="8"/>
  <c r="J24" i="76"/>
  <c r="X62" i="26" l="1"/>
  <c r="X72" i="26" s="1"/>
  <c r="T73" i="26" s="1"/>
  <c r="N188" i="8"/>
  <c r="N189" i="8" s="1"/>
  <c r="N17" i="76"/>
  <c r="N18" i="76"/>
  <c r="L19" i="76"/>
  <c r="L17" i="76" l="1"/>
  <c r="D24" i="76" l="1"/>
  <c r="M24" i="76"/>
  <c r="I24" i="76"/>
  <c r="K13" i="76"/>
  <c r="K24" i="76" s="1"/>
  <c r="G33" i="8" l="1"/>
  <c r="Q8" i="76"/>
  <c r="O8" i="76"/>
  <c r="O14" i="76"/>
  <c r="I9" i="75" l="1"/>
  <c r="H9" i="75"/>
  <c r="M8" i="75"/>
  <c r="M7" i="75"/>
  <c r="L7" i="75"/>
  <c r="L6" i="75"/>
  <c r="L4" i="75"/>
  <c r="M9" i="75" l="1"/>
  <c r="L5" i="75"/>
  <c r="L8" i="75"/>
  <c r="I9" i="76"/>
  <c r="I25" i="76" s="1"/>
  <c r="M9" i="76"/>
  <c r="H9" i="76"/>
  <c r="H25" i="76" s="1"/>
  <c r="M10" i="76"/>
  <c r="L24" i="76" s="1"/>
  <c r="L9" i="75" l="1"/>
  <c r="N10" i="75" s="1"/>
  <c r="J8" i="76"/>
  <c r="J19" i="75" l="1"/>
  <c r="K69" i="75" l="1"/>
  <c r="I69" i="75"/>
  <c r="H69" i="75"/>
  <c r="J68" i="75"/>
  <c r="L68" i="75" s="1"/>
  <c r="M67" i="75"/>
  <c r="M69" i="75" s="1"/>
  <c r="L67" i="75"/>
  <c r="D67" i="75"/>
  <c r="J66" i="75"/>
  <c r="L66" i="75" s="1"/>
  <c r="J65" i="75"/>
  <c r="L65" i="75" s="1"/>
  <c r="L64" i="75"/>
  <c r="D64" i="75"/>
  <c r="D69" i="75" s="1"/>
  <c r="J69" i="75" l="1"/>
  <c r="L69" i="75"/>
  <c r="J6" i="76" l="1"/>
  <c r="J55" i="75" l="1"/>
  <c r="K9" i="76" l="1"/>
  <c r="K25" i="76" s="1"/>
  <c r="J4" i="76"/>
  <c r="J9" i="76" s="1"/>
  <c r="J25" i="76" s="1"/>
  <c r="N7" i="76" l="1"/>
  <c r="K20" i="75"/>
  <c r="I20" i="75"/>
  <c r="H20" i="75"/>
  <c r="M19" i="75"/>
  <c r="L19" i="75"/>
  <c r="M18" i="75"/>
  <c r="L18" i="75"/>
  <c r="D18" i="75"/>
  <c r="L17" i="75"/>
  <c r="L16" i="75"/>
  <c r="L15" i="75"/>
  <c r="D15" i="75"/>
  <c r="D20" i="75" s="1"/>
  <c r="F69" i="26"/>
  <c r="F68" i="26"/>
  <c r="L20" i="75" l="1"/>
  <c r="M20" i="75"/>
  <c r="J20" i="75"/>
  <c r="M171" i="8"/>
  <c r="L171" i="8"/>
  <c r="I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E155" i="8"/>
  <c r="E156" i="8" s="1"/>
  <c r="G154" i="8"/>
  <c r="J155" i="8" l="1"/>
  <c r="K155" i="8" s="1"/>
  <c r="G171" i="8"/>
  <c r="J156" i="8"/>
  <c r="K156" i="8" s="1"/>
  <c r="E157" i="8"/>
  <c r="J154" i="8"/>
  <c r="J20" i="47"/>
  <c r="I20" i="47"/>
  <c r="J8" i="47"/>
  <c r="M8" i="47" s="1"/>
  <c r="P8" i="47" s="1"/>
  <c r="H11" i="47"/>
  <c r="H20" i="47" s="1"/>
  <c r="P14" i="47"/>
  <c r="P20" i="47" s="1"/>
  <c r="P17" i="47"/>
  <c r="O20" i="47"/>
  <c r="N20" i="47"/>
  <c r="M20" i="47"/>
  <c r="L20" i="47"/>
  <c r="K20" i="47"/>
  <c r="G20" i="47"/>
  <c r="F20" i="47"/>
  <c r="E20" i="47"/>
  <c r="D20" i="47"/>
  <c r="P11" i="47"/>
  <c r="D11" i="47"/>
  <c r="H9" i="47"/>
  <c r="E158" i="8" l="1"/>
  <c r="J157" i="8"/>
  <c r="K157" i="8" s="1"/>
  <c r="K154" i="8"/>
  <c r="I25" i="26"/>
  <c r="N154" i="8" l="1"/>
  <c r="N155" i="8" s="1"/>
  <c r="N156" i="8" s="1"/>
  <c r="N157" i="8" s="1"/>
  <c r="J158" i="8"/>
  <c r="K158" i="8" s="1"/>
  <c r="E159" i="8"/>
  <c r="K42" i="76"/>
  <c r="K39" i="76"/>
  <c r="J39" i="76"/>
  <c r="K38" i="76"/>
  <c r="J38" i="76"/>
  <c r="J37" i="76"/>
  <c r="J159" i="8" l="1"/>
  <c r="K159" i="8" s="1"/>
  <c r="E160" i="8"/>
  <c r="N158" i="8"/>
  <c r="K43" i="76"/>
  <c r="I43" i="76"/>
  <c r="H43" i="76"/>
  <c r="M42" i="76"/>
  <c r="M41" i="76"/>
  <c r="L41" i="76"/>
  <c r="M40" i="76"/>
  <c r="L40" i="76"/>
  <c r="D40" i="76"/>
  <c r="L38" i="76"/>
  <c r="L37" i="76"/>
  <c r="D37" i="76"/>
  <c r="M7" i="76"/>
  <c r="M25" i="76" s="1"/>
  <c r="L7" i="76"/>
  <c r="D7" i="76"/>
  <c r="L6" i="76"/>
  <c r="L4" i="76"/>
  <c r="D4" i="76"/>
  <c r="N159" i="8" l="1"/>
  <c r="D43" i="76"/>
  <c r="D9" i="76"/>
  <c r="D25" i="76" s="1"/>
  <c r="K28" i="76"/>
  <c r="J42" i="76"/>
  <c r="L42" i="76" s="1"/>
  <c r="E161" i="8"/>
  <c r="J160" i="8"/>
  <c r="M43" i="76"/>
  <c r="L8" i="76"/>
  <c r="L39" i="76"/>
  <c r="L5" i="76"/>
  <c r="J56" i="75"/>
  <c r="L56" i="75" s="1"/>
  <c r="K5" i="71"/>
  <c r="K59" i="75"/>
  <c r="I59" i="75"/>
  <c r="H59" i="75"/>
  <c r="J58" i="75"/>
  <c r="L58" i="75" s="1"/>
  <c r="L57" i="75"/>
  <c r="D57" i="75"/>
  <c r="L55" i="75"/>
  <c r="L54" i="75"/>
  <c r="D54" i="75"/>
  <c r="J46" i="75"/>
  <c r="L9" i="76" l="1"/>
  <c r="L43" i="76"/>
  <c r="J43" i="76"/>
  <c r="K160" i="8"/>
  <c r="N160" i="8" s="1"/>
  <c r="E162" i="8"/>
  <c r="J161" i="8"/>
  <c r="K161" i="8" s="1"/>
  <c r="L59" i="75"/>
  <c r="D59" i="75"/>
  <c r="J59" i="75"/>
  <c r="L25" i="76" l="1"/>
  <c r="E28" i="76" s="1"/>
  <c r="J162" i="8"/>
  <c r="K162" i="8" s="1"/>
  <c r="E163" i="8"/>
  <c r="N161" i="8"/>
  <c r="G137" i="8"/>
  <c r="M147" i="8"/>
  <c r="L147" i="8"/>
  <c r="I147" i="8"/>
  <c r="G146" i="8"/>
  <c r="G145" i="8"/>
  <c r="G144" i="8"/>
  <c r="G143" i="8"/>
  <c r="G142" i="8"/>
  <c r="G141" i="8"/>
  <c r="G140" i="8"/>
  <c r="G139" i="8"/>
  <c r="G138" i="8"/>
  <c r="G136" i="8"/>
  <c r="G135" i="8"/>
  <c r="G134" i="8"/>
  <c r="G133" i="8"/>
  <c r="G132" i="8"/>
  <c r="G131" i="8"/>
  <c r="E131" i="8"/>
  <c r="E132" i="8" s="1"/>
  <c r="G130" i="8"/>
  <c r="E29" i="76" l="1"/>
  <c r="K27" i="76"/>
  <c r="L27" i="76" s="1"/>
  <c r="J130" i="8"/>
  <c r="G147" i="8"/>
  <c r="N162" i="8"/>
  <c r="J163" i="8"/>
  <c r="K163" i="8" s="1"/>
  <c r="E164" i="8"/>
  <c r="K130" i="8"/>
  <c r="E133" i="8"/>
  <c r="J132" i="8"/>
  <c r="K132" i="8" s="1"/>
  <c r="J131" i="8"/>
  <c r="K131" i="8" s="1"/>
  <c r="N163" i="8" l="1"/>
  <c r="E165" i="8"/>
  <c r="J164" i="8"/>
  <c r="K164" i="8" s="1"/>
  <c r="N164" i="8" s="1"/>
  <c r="N130" i="8"/>
  <c r="N131" i="8" s="1"/>
  <c r="N132" i="8" s="1"/>
  <c r="J133" i="8"/>
  <c r="E134" i="8"/>
  <c r="J165" i="8" l="1"/>
  <c r="K165" i="8" s="1"/>
  <c r="N165" i="8" s="1"/>
  <c r="E166" i="8"/>
  <c r="J134" i="8"/>
  <c r="K134" i="8" s="1"/>
  <c r="E135" i="8"/>
  <c r="K133" i="8"/>
  <c r="N133" i="8" s="1"/>
  <c r="E167" i="8" l="1"/>
  <c r="J166" i="8"/>
  <c r="K166" i="8" s="1"/>
  <c r="N166" i="8" s="1"/>
  <c r="E136" i="8"/>
  <c r="E137" i="8" s="1"/>
  <c r="J137" i="8" s="1"/>
  <c r="K137" i="8" s="1"/>
  <c r="J135" i="8"/>
  <c r="N134" i="8"/>
  <c r="K135" i="8" l="1"/>
  <c r="N135" i="8" s="1"/>
  <c r="E168" i="8"/>
  <c r="J167" i="8"/>
  <c r="K167" i="8" s="1"/>
  <c r="N167" i="8" s="1"/>
  <c r="J136" i="8"/>
  <c r="K136" i="8" s="1"/>
  <c r="N136" i="8" l="1"/>
  <c r="N137" i="8" s="1"/>
  <c r="E169" i="8"/>
  <c r="J168" i="8"/>
  <c r="K168" i="8" s="1"/>
  <c r="N168" i="8" s="1"/>
  <c r="E138" i="8"/>
  <c r="J169" i="8" l="1"/>
  <c r="K169" i="8" s="1"/>
  <c r="N169" i="8" s="1"/>
  <c r="E170" i="8"/>
  <c r="J170" i="8" s="1"/>
  <c r="E139" i="8"/>
  <c r="J138" i="8"/>
  <c r="K138" i="8" s="1"/>
  <c r="K170" i="8" l="1"/>
  <c r="K171" i="8" s="1"/>
  <c r="J171" i="8"/>
  <c r="N138" i="8"/>
  <c r="E140" i="8"/>
  <c r="J139" i="8"/>
  <c r="K139" i="8" s="1"/>
  <c r="N170" i="8" l="1"/>
  <c r="N171" i="8" s="1"/>
  <c r="J140" i="8"/>
  <c r="K140" i="8" s="1"/>
  <c r="E141" i="8"/>
  <c r="N139" i="8"/>
  <c r="N140" i="8" l="1"/>
  <c r="E142" i="8"/>
  <c r="J141" i="8"/>
  <c r="K141" i="8" s="1"/>
  <c r="N141" i="8" l="1"/>
  <c r="J142" i="8"/>
  <c r="K142" i="8" s="1"/>
  <c r="N142" i="8" s="1"/>
  <c r="E143" i="8"/>
  <c r="J143" i="8" l="1"/>
  <c r="K143" i="8" s="1"/>
  <c r="N143" i="8" s="1"/>
  <c r="E144" i="8"/>
  <c r="E145" i="8" l="1"/>
  <c r="J144" i="8"/>
  <c r="K144" i="8" s="1"/>
  <c r="N144" i="8" s="1"/>
  <c r="E146" i="8" l="1"/>
  <c r="J146" i="8" s="1"/>
  <c r="J145" i="8"/>
  <c r="K145" i="8" s="1"/>
  <c r="N145" i="8" s="1"/>
  <c r="J147" i="8" l="1"/>
  <c r="K146" i="8"/>
  <c r="K147" i="8" s="1"/>
  <c r="N146" i="8" l="1"/>
  <c r="N147" i="8" s="1"/>
  <c r="J10" i="71" l="1"/>
  <c r="J20" i="71"/>
  <c r="J46" i="71"/>
  <c r="N7" i="71"/>
  <c r="N8" i="71"/>
  <c r="J21" i="71" l="1"/>
  <c r="L9" i="74"/>
  <c r="J9" i="74"/>
  <c r="I9" i="74"/>
  <c r="N8" i="74"/>
  <c r="K8" i="74"/>
  <c r="M8" i="74" s="1"/>
  <c r="N7" i="74"/>
  <c r="N9" i="74" s="1"/>
  <c r="M7" i="74"/>
  <c r="D7" i="74"/>
  <c r="K6" i="74"/>
  <c r="O6" i="74" s="1"/>
  <c r="K5" i="74"/>
  <c r="M5" i="74" s="1"/>
  <c r="M4" i="74"/>
  <c r="D4" i="74"/>
  <c r="D9" i="74" s="1"/>
  <c r="O10" i="47"/>
  <c r="N10" i="47"/>
  <c r="L10" i="47"/>
  <c r="K10" i="47"/>
  <c r="I10" i="47"/>
  <c r="H10" i="47"/>
  <c r="F10" i="47"/>
  <c r="E10" i="47"/>
  <c r="G9" i="47"/>
  <c r="J9" i="47" s="1"/>
  <c r="M9" i="47" s="1"/>
  <c r="P9" i="47" s="1"/>
  <c r="D7" i="47"/>
  <c r="D10" i="47" s="1"/>
  <c r="G6" i="47"/>
  <c r="J6" i="47" s="1"/>
  <c r="M6" i="47" s="1"/>
  <c r="P6" i="47" s="1"/>
  <c r="G5" i="47"/>
  <c r="G4" i="47"/>
  <c r="J4" i="47" s="1"/>
  <c r="M4" i="47" s="1"/>
  <c r="L31" i="61"/>
  <c r="K31" i="61"/>
  <c r="H31" i="61"/>
  <c r="F30" i="61"/>
  <c r="F29" i="61"/>
  <c r="F28" i="61"/>
  <c r="F27" i="61"/>
  <c r="F26" i="61"/>
  <c r="F25" i="61"/>
  <c r="F24" i="61"/>
  <c r="F23" i="61"/>
  <c r="F22" i="61"/>
  <c r="F21" i="61"/>
  <c r="F20" i="61"/>
  <c r="F19" i="61"/>
  <c r="F18" i="61"/>
  <c r="F17" i="61"/>
  <c r="F16" i="61"/>
  <c r="F15" i="61"/>
  <c r="F14" i="61"/>
  <c r="F13" i="61"/>
  <c r="F12" i="61"/>
  <c r="F11" i="61"/>
  <c r="F10" i="61"/>
  <c r="F7" i="61"/>
  <c r="F6" i="61"/>
  <c r="D6" i="61"/>
  <c r="F5" i="61"/>
  <c r="I5" i="61" s="1"/>
  <c r="N122" i="8"/>
  <c r="N121" i="8"/>
  <c r="N120" i="8"/>
  <c r="N119" i="8"/>
  <c r="N118" i="8"/>
  <c r="N117" i="8"/>
  <c r="L115" i="8"/>
  <c r="K115" i="8"/>
  <c r="K114" i="8"/>
  <c r="I114" i="8"/>
  <c r="I123" i="8" s="1"/>
  <c r="L113" i="8"/>
  <c r="M113" i="8" s="1"/>
  <c r="M112" i="8"/>
  <c r="E112" i="8"/>
  <c r="E113" i="8" s="1"/>
  <c r="M111" i="8"/>
  <c r="E111" i="8"/>
  <c r="M104" i="8"/>
  <c r="L104" i="8"/>
  <c r="I104" i="8"/>
  <c r="G101" i="8"/>
  <c r="G100" i="8"/>
  <c r="G99" i="8"/>
  <c r="G98" i="8"/>
  <c r="G97" i="8"/>
  <c r="G94" i="8"/>
  <c r="G93" i="8"/>
  <c r="G92" i="8"/>
  <c r="G91" i="8"/>
  <c r="G90" i="8"/>
  <c r="G87" i="8"/>
  <c r="G86" i="8"/>
  <c r="G85" i="8"/>
  <c r="G84" i="8"/>
  <c r="G83" i="8"/>
  <c r="G82" i="8"/>
  <c r="G79" i="8"/>
  <c r="G78" i="8"/>
  <c r="E78" i="8"/>
  <c r="E79" i="8" s="1"/>
  <c r="G77" i="8"/>
  <c r="J77" i="8" s="1"/>
  <c r="M71" i="8"/>
  <c r="M72" i="8" s="1"/>
  <c r="L71" i="8"/>
  <c r="I71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6" i="8"/>
  <c r="G45" i="8"/>
  <c r="E45" i="8"/>
  <c r="E46" i="8" s="1"/>
  <c r="G44" i="8"/>
  <c r="J44" i="8" s="1"/>
  <c r="G36" i="8"/>
  <c r="G35" i="8"/>
  <c r="G34" i="8"/>
  <c r="G32" i="8"/>
  <c r="G31" i="8"/>
  <c r="G30" i="8"/>
  <c r="G29" i="8"/>
  <c r="G28" i="8"/>
  <c r="G27" i="8"/>
  <c r="G26" i="8"/>
  <c r="G25" i="8"/>
  <c r="G24" i="8"/>
  <c r="G23" i="8"/>
  <c r="G22" i="8"/>
  <c r="G21" i="8"/>
  <c r="E21" i="8"/>
  <c r="E22" i="8" s="1"/>
  <c r="E23" i="8" s="1"/>
  <c r="G20" i="8"/>
  <c r="I15" i="8"/>
  <c r="L4" i="8"/>
  <c r="E4" i="8"/>
  <c r="L3" i="8"/>
  <c r="E3" i="8"/>
  <c r="I73" i="63"/>
  <c r="H73" i="63"/>
  <c r="F72" i="63"/>
  <c r="F71" i="63"/>
  <c r="F73" i="63" s="1"/>
  <c r="I70" i="63"/>
  <c r="H70" i="63"/>
  <c r="F69" i="63"/>
  <c r="F68" i="63"/>
  <c r="F67" i="63"/>
  <c r="F66" i="63"/>
  <c r="F65" i="63"/>
  <c r="F70" i="63" s="1"/>
  <c r="I64" i="63"/>
  <c r="H64" i="63"/>
  <c r="F63" i="63"/>
  <c r="F64" i="63" s="1"/>
  <c r="I62" i="63"/>
  <c r="H62" i="63"/>
  <c r="F61" i="63"/>
  <c r="F60" i="63"/>
  <c r="F59" i="63"/>
  <c r="F58" i="63"/>
  <c r="F57" i="63"/>
  <c r="F56" i="63"/>
  <c r="F55" i="63"/>
  <c r="F54" i="63"/>
  <c r="F53" i="63"/>
  <c r="F52" i="63"/>
  <c r="F51" i="63"/>
  <c r="F50" i="63"/>
  <c r="F49" i="63"/>
  <c r="F48" i="63"/>
  <c r="F47" i="63"/>
  <c r="F46" i="63"/>
  <c r="F45" i="63"/>
  <c r="F44" i="63"/>
  <c r="F43" i="63"/>
  <c r="F42" i="63"/>
  <c r="F41" i="63"/>
  <c r="F40" i="63"/>
  <c r="F39" i="63"/>
  <c r="F38" i="63"/>
  <c r="F37" i="63"/>
  <c r="F36" i="63"/>
  <c r="F35" i="63"/>
  <c r="F34" i="63"/>
  <c r="F33" i="63"/>
  <c r="F32" i="63"/>
  <c r="H31" i="63"/>
  <c r="B29" i="63"/>
  <c r="B30" i="63" s="1"/>
  <c r="B32" i="63" s="1"/>
  <c r="I28" i="63"/>
  <c r="I31" i="63" s="1"/>
  <c r="G28" i="63"/>
  <c r="J28" i="63" s="1"/>
  <c r="I27" i="63"/>
  <c r="F27" i="63"/>
  <c r="G26" i="63"/>
  <c r="G27" i="63" s="1"/>
  <c r="I25" i="63"/>
  <c r="F25" i="63"/>
  <c r="G24" i="63"/>
  <c r="J24" i="63" s="1"/>
  <c r="F23" i="63"/>
  <c r="G22" i="63"/>
  <c r="G23" i="63" s="1"/>
  <c r="F20" i="63"/>
  <c r="F21" i="63" s="1"/>
  <c r="I19" i="63"/>
  <c r="I21" i="63" s="1"/>
  <c r="G18" i="63"/>
  <c r="J18" i="63" s="1"/>
  <c r="G17" i="63"/>
  <c r="J17" i="63" s="1"/>
  <c r="D17" i="63"/>
  <c r="D16" i="63"/>
  <c r="F16" i="63" s="1"/>
  <c r="G16" i="63" s="1"/>
  <c r="J16" i="63" s="1"/>
  <c r="F15" i="63"/>
  <c r="G15" i="63" s="1"/>
  <c r="J15" i="63" s="1"/>
  <c r="G14" i="63"/>
  <c r="J14" i="63" s="1"/>
  <c r="I13" i="63"/>
  <c r="G12" i="63"/>
  <c r="J12" i="63" s="1"/>
  <c r="D12" i="63"/>
  <c r="F11" i="63"/>
  <c r="F13" i="63" s="1"/>
  <c r="G10" i="63"/>
  <c r="J10" i="63" s="1"/>
  <c r="D10" i="63"/>
  <c r="I9" i="63"/>
  <c r="D8" i="63"/>
  <c r="F8" i="63" s="1"/>
  <c r="G8" i="63" s="1"/>
  <c r="J8" i="63" s="1"/>
  <c r="F7" i="63"/>
  <c r="G7" i="63" s="1"/>
  <c r="J7" i="63" s="1"/>
  <c r="F6" i="63"/>
  <c r="I71" i="26"/>
  <c r="H71" i="26"/>
  <c r="F67" i="26"/>
  <c r="B67" i="26"/>
  <c r="B68" i="26" s="1"/>
  <c r="F66" i="26"/>
  <c r="G66" i="26" s="1"/>
  <c r="J66" i="26" s="1"/>
  <c r="I65" i="26"/>
  <c r="H65" i="26"/>
  <c r="F64" i="26"/>
  <c r="F63" i="26"/>
  <c r="F61" i="26"/>
  <c r="F60" i="26"/>
  <c r="F59" i="26"/>
  <c r="I58" i="26"/>
  <c r="H58" i="26"/>
  <c r="F57" i="26"/>
  <c r="F58" i="26" s="1"/>
  <c r="I56" i="26"/>
  <c r="H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H31" i="26"/>
  <c r="B29" i="26"/>
  <c r="B30" i="26" s="1"/>
  <c r="B32" i="26" s="1"/>
  <c r="I28" i="26"/>
  <c r="I31" i="26" s="1"/>
  <c r="G28" i="26"/>
  <c r="I27" i="26"/>
  <c r="F27" i="26"/>
  <c r="G26" i="26"/>
  <c r="J26" i="26" s="1"/>
  <c r="F25" i="26"/>
  <c r="G24" i="26"/>
  <c r="G25" i="26" s="1"/>
  <c r="F23" i="26"/>
  <c r="G22" i="26"/>
  <c r="G23" i="26" s="1"/>
  <c r="F20" i="26"/>
  <c r="G20" i="26" s="1"/>
  <c r="J20" i="26" s="1"/>
  <c r="I19" i="26"/>
  <c r="I21" i="26" s="1"/>
  <c r="I23" i="26" s="1"/>
  <c r="G18" i="26"/>
  <c r="G17" i="26"/>
  <c r="J17" i="26" s="1"/>
  <c r="D17" i="26"/>
  <c r="D16" i="26"/>
  <c r="F16" i="26" s="1"/>
  <c r="G16" i="26" s="1"/>
  <c r="J16" i="26" s="1"/>
  <c r="F15" i="26"/>
  <c r="J14" i="26"/>
  <c r="I13" i="26"/>
  <c r="G12" i="26"/>
  <c r="J12" i="26" s="1"/>
  <c r="D12" i="26"/>
  <c r="F11" i="26"/>
  <c r="G11" i="26" s="1"/>
  <c r="G10" i="26"/>
  <c r="J10" i="26" s="1"/>
  <c r="D10" i="26"/>
  <c r="I9" i="26"/>
  <c r="D8" i="26"/>
  <c r="F8" i="26" s="1"/>
  <c r="G8" i="26" s="1"/>
  <c r="J8" i="26" s="1"/>
  <c r="F7" i="26"/>
  <c r="G7" i="26" s="1"/>
  <c r="F6" i="26"/>
  <c r="G6" i="26" s="1"/>
  <c r="J6" i="26" s="1"/>
  <c r="E24" i="68"/>
  <c r="C23" i="68"/>
  <c r="E22" i="68"/>
  <c r="D22" i="68"/>
  <c r="C22" i="68"/>
  <c r="E21" i="68"/>
  <c r="D18" i="68"/>
  <c r="C18" i="68"/>
  <c r="C25" i="68" s="1"/>
  <c r="I10" i="73"/>
  <c r="H10" i="73"/>
  <c r="H9" i="73"/>
  <c r="G9" i="73"/>
  <c r="F9" i="73"/>
  <c r="I8" i="73"/>
  <c r="I7" i="73"/>
  <c r="C7" i="73"/>
  <c r="I6" i="73"/>
  <c r="I5" i="73"/>
  <c r="I4" i="73"/>
  <c r="I9" i="73" s="1"/>
  <c r="C4" i="73"/>
  <c r="C9" i="73" s="1"/>
  <c r="K19" i="69"/>
  <c r="J19" i="69"/>
  <c r="I19" i="69"/>
  <c r="L18" i="69"/>
  <c r="L17" i="69"/>
  <c r="D17" i="69"/>
  <c r="L16" i="69"/>
  <c r="L15" i="69"/>
  <c r="L14" i="69"/>
  <c r="D14" i="69"/>
  <c r="K9" i="69"/>
  <c r="I9" i="69"/>
  <c r="J8" i="69"/>
  <c r="L8" i="69" s="1"/>
  <c r="L7" i="69"/>
  <c r="D7" i="69"/>
  <c r="L6" i="69"/>
  <c r="L5" i="69"/>
  <c r="L4" i="69"/>
  <c r="D4" i="69"/>
  <c r="D9" i="69" s="1"/>
  <c r="K17" i="72"/>
  <c r="J17" i="72"/>
  <c r="I17" i="72"/>
  <c r="D16" i="72"/>
  <c r="D15" i="72"/>
  <c r="D14" i="72"/>
  <c r="D13" i="72"/>
  <c r="L12" i="72"/>
  <c r="L17" i="72" s="1"/>
  <c r="D12" i="72"/>
  <c r="K10" i="72"/>
  <c r="K18" i="72" s="1"/>
  <c r="J10" i="72"/>
  <c r="I10" i="72"/>
  <c r="L9" i="72"/>
  <c r="L7" i="72"/>
  <c r="D7" i="72"/>
  <c r="L6" i="72"/>
  <c r="L5" i="72"/>
  <c r="L4" i="72"/>
  <c r="D4" i="72"/>
  <c r="D10" i="72" s="1"/>
  <c r="L29" i="66"/>
  <c r="L28" i="66"/>
  <c r="L32" i="66" s="1"/>
  <c r="I31" i="66" s="1"/>
  <c r="K27" i="66"/>
  <c r="G31" i="66" s="1"/>
  <c r="K18" i="66"/>
  <c r="J18" i="66"/>
  <c r="I18" i="66"/>
  <c r="I19" i="66" s="1"/>
  <c r="D16" i="66"/>
  <c r="D15" i="66"/>
  <c r="D14" i="66"/>
  <c r="D13" i="66"/>
  <c r="L12" i="66"/>
  <c r="L18" i="66" s="1"/>
  <c r="D12" i="66"/>
  <c r="K10" i="66"/>
  <c r="J10" i="66"/>
  <c r="I10" i="66"/>
  <c r="L9" i="66"/>
  <c r="L7" i="66"/>
  <c r="D7" i="66"/>
  <c r="L6" i="66"/>
  <c r="L5" i="66"/>
  <c r="L4" i="66"/>
  <c r="L10" i="66" s="1"/>
  <c r="D4" i="66"/>
  <c r="D10" i="66" s="1"/>
  <c r="K49" i="75"/>
  <c r="I49" i="75"/>
  <c r="H49" i="75"/>
  <c r="M48" i="75"/>
  <c r="J48" i="75"/>
  <c r="L48" i="75" s="1"/>
  <c r="M47" i="75"/>
  <c r="L47" i="75"/>
  <c r="D47" i="75"/>
  <c r="L46" i="75"/>
  <c r="L45" i="75"/>
  <c r="L44" i="75"/>
  <c r="D44" i="75"/>
  <c r="O46" i="71"/>
  <c r="L46" i="71"/>
  <c r="I46" i="71"/>
  <c r="N45" i="71"/>
  <c r="K45" i="71"/>
  <c r="M45" i="71" s="1"/>
  <c r="N44" i="71"/>
  <c r="M44" i="71"/>
  <c r="N43" i="71"/>
  <c r="M43" i="71"/>
  <c r="D43" i="71"/>
  <c r="K42" i="71"/>
  <c r="M42" i="71" s="1"/>
  <c r="K41" i="71"/>
  <c r="M41" i="71" s="1"/>
  <c r="M40" i="71"/>
  <c r="D40" i="71"/>
  <c r="N31" i="71"/>
  <c r="N30" i="71"/>
  <c r="L29" i="71"/>
  <c r="G33" i="71" s="1"/>
  <c r="N20" i="71"/>
  <c r="M20" i="71"/>
  <c r="L20" i="71"/>
  <c r="K20" i="71"/>
  <c r="I20" i="71"/>
  <c r="D16" i="71"/>
  <c r="D15" i="71"/>
  <c r="D14" i="71"/>
  <c r="D13" i="71"/>
  <c r="D12" i="71"/>
  <c r="L10" i="71"/>
  <c r="I10" i="71"/>
  <c r="K9" i="71"/>
  <c r="M9" i="71" s="1"/>
  <c r="E10" i="68" s="1"/>
  <c r="M8" i="71"/>
  <c r="N10" i="71"/>
  <c r="M7" i="71"/>
  <c r="D7" i="71"/>
  <c r="K6" i="71"/>
  <c r="O5" i="71"/>
  <c r="M5" i="71"/>
  <c r="E6" i="68" s="1"/>
  <c r="M4" i="71"/>
  <c r="E5" i="68" s="1"/>
  <c r="D4" i="71"/>
  <c r="L26" i="62"/>
  <c r="L25" i="62"/>
  <c r="L29" i="62" s="1"/>
  <c r="I28" i="62" s="1"/>
  <c r="K24" i="62"/>
  <c r="G28" i="62" s="1"/>
  <c r="K16" i="62"/>
  <c r="J16" i="62"/>
  <c r="I16" i="62"/>
  <c r="D15" i="62"/>
  <c r="D14" i="62"/>
  <c r="D13" i="62"/>
  <c r="L12" i="62"/>
  <c r="L16" i="62" s="1"/>
  <c r="D12" i="62"/>
  <c r="K10" i="62"/>
  <c r="J10" i="62"/>
  <c r="I10" i="62"/>
  <c r="L9" i="62"/>
  <c r="L7" i="62"/>
  <c r="D7" i="62"/>
  <c r="L6" i="62"/>
  <c r="L5" i="62"/>
  <c r="L4" i="62"/>
  <c r="D4" i="62"/>
  <c r="D10" i="62" s="1"/>
  <c r="K34" i="60"/>
  <c r="H31" i="60" s="1"/>
  <c r="H11" i="60"/>
  <c r="H13" i="60" s="1"/>
  <c r="J10" i="60"/>
  <c r="J11" i="60" s="1"/>
  <c r="J13" i="60" s="1"/>
  <c r="I10" i="60"/>
  <c r="I11" i="60" s="1"/>
  <c r="I13" i="60" s="1"/>
  <c r="J16" i="60" s="1"/>
  <c r="K7" i="60"/>
  <c r="D7" i="60"/>
  <c r="K6" i="60"/>
  <c r="J6" i="60"/>
  <c r="K5" i="60"/>
  <c r="J5" i="60"/>
  <c r="K4" i="60"/>
  <c r="D4" i="60"/>
  <c r="B33" i="63" l="1"/>
  <c r="G32" i="63"/>
  <c r="J32" i="63" s="1"/>
  <c r="N33" i="71"/>
  <c r="I33" i="71" s="1"/>
  <c r="J26" i="63"/>
  <c r="G29" i="63"/>
  <c r="J29" i="63" s="1"/>
  <c r="J19" i="66"/>
  <c r="K22" i="66" s="1"/>
  <c r="H74" i="63"/>
  <c r="I26" i="60"/>
  <c r="O5" i="74"/>
  <c r="M6" i="74"/>
  <c r="F31" i="61"/>
  <c r="D17" i="72"/>
  <c r="D18" i="72" s="1"/>
  <c r="J22" i="63"/>
  <c r="IR22" i="63" s="1"/>
  <c r="L10" i="62"/>
  <c r="L17" i="62" s="1"/>
  <c r="E20" i="62" s="1"/>
  <c r="G10" i="73"/>
  <c r="L10" i="72"/>
  <c r="L18" i="72" s="1"/>
  <c r="E21" i="72" s="1"/>
  <c r="D18" i="66"/>
  <c r="M18" i="66" s="1"/>
  <c r="D19" i="69"/>
  <c r="I18" i="72"/>
  <c r="K20" i="72" s="1"/>
  <c r="L20" i="72" s="1"/>
  <c r="L19" i="69"/>
  <c r="G20" i="63"/>
  <c r="J20" i="63" s="1"/>
  <c r="G25" i="63"/>
  <c r="J25" i="63" s="1"/>
  <c r="K19" i="66"/>
  <c r="J26" i="60"/>
  <c r="I17" i="62"/>
  <c r="J17" i="62"/>
  <c r="J18" i="72"/>
  <c r="K21" i="72" s="1"/>
  <c r="L19" i="66"/>
  <c r="J23" i="63"/>
  <c r="K21" i="66"/>
  <c r="L21" i="66" s="1"/>
  <c r="J20" i="8"/>
  <c r="G38" i="8"/>
  <c r="J5" i="61"/>
  <c r="L7" i="60"/>
  <c r="D19" i="66"/>
  <c r="F9" i="63"/>
  <c r="F74" i="63" s="1"/>
  <c r="G6" i="63"/>
  <c r="G21" i="63"/>
  <c r="J21" i="63" s="1"/>
  <c r="B34" i="63"/>
  <c r="G33" i="63"/>
  <c r="J33" i="63" s="1"/>
  <c r="K10" i="60"/>
  <c r="K11" i="60"/>
  <c r="K13" i="60" s="1"/>
  <c r="D16" i="62"/>
  <c r="D17" i="62" s="1"/>
  <c r="L9" i="69"/>
  <c r="J9" i="69"/>
  <c r="G11" i="63"/>
  <c r="J19" i="63"/>
  <c r="I23" i="63"/>
  <c r="I74" i="63" s="1"/>
  <c r="G30" i="63"/>
  <c r="J30" i="63" s="1"/>
  <c r="J31" i="63" s="1"/>
  <c r="K17" i="62"/>
  <c r="K20" i="62" s="1"/>
  <c r="I21" i="71"/>
  <c r="J28" i="26"/>
  <c r="G19" i="63"/>
  <c r="J27" i="63"/>
  <c r="G31" i="63"/>
  <c r="M9" i="74"/>
  <c r="F62" i="63"/>
  <c r="I6" i="61"/>
  <c r="J6" i="61" s="1"/>
  <c r="D7" i="61"/>
  <c r="K9" i="74"/>
  <c r="N115" i="8"/>
  <c r="M115" i="8"/>
  <c r="F65" i="26"/>
  <c r="G68" i="26"/>
  <c r="J68" i="26" s="1"/>
  <c r="B69" i="26"/>
  <c r="G67" i="26"/>
  <c r="J67" i="26" s="1"/>
  <c r="G15" i="26"/>
  <c r="J15" i="26" s="1"/>
  <c r="E114" i="8"/>
  <c r="E115" i="8" s="1"/>
  <c r="M114" i="8"/>
  <c r="K123" i="8"/>
  <c r="D49" i="75"/>
  <c r="F21" i="26"/>
  <c r="J5" i="47"/>
  <c r="M5" i="47" s="1"/>
  <c r="P5" i="47" s="1"/>
  <c r="G7" i="47"/>
  <c r="J7" i="47" s="1"/>
  <c r="M7" i="47" s="1"/>
  <c r="P7" i="47" s="1"/>
  <c r="P4" i="47"/>
  <c r="F71" i="26"/>
  <c r="G27" i="26"/>
  <c r="J27" i="26" s="1"/>
  <c r="F62" i="26"/>
  <c r="H72" i="26"/>
  <c r="F56" i="26"/>
  <c r="J18" i="26"/>
  <c r="J11" i="26"/>
  <c r="J13" i="26" s="1"/>
  <c r="G13" i="26"/>
  <c r="F13" i="26"/>
  <c r="J7" i="26"/>
  <c r="J9" i="26" s="1"/>
  <c r="G9" i="26"/>
  <c r="F9" i="26"/>
  <c r="J23" i="26"/>
  <c r="J22" i="26"/>
  <c r="IN22" i="26" s="1"/>
  <c r="G21" i="26"/>
  <c r="J21" i="26" s="1"/>
  <c r="G29" i="26"/>
  <c r="J29" i="26" s="1"/>
  <c r="I72" i="26"/>
  <c r="G32" i="26"/>
  <c r="B33" i="26"/>
  <c r="G30" i="26"/>
  <c r="J25" i="26"/>
  <c r="J24" i="26"/>
  <c r="M49" i="75"/>
  <c r="L49" i="75"/>
  <c r="J49" i="75"/>
  <c r="J21" i="8"/>
  <c r="K21" i="8" s="1"/>
  <c r="G104" i="8"/>
  <c r="G71" i="8"/>
  <c r="E24" i="8"/>
  <c r="J23" i="8"/>
  <c r="K23" i="8" s="1"/>
  <c r="O77" i="8"/>
  <c r="K77" i="8"/>
  <c r="E80" i="8"/>
  <c r="J79" i="8"/>
  <c r="J46" i="8"/>
  <c r="K46" i="8" s="1"/>
  <c r="E47" i="8"/>
  <c r="L123" i="8"/>
  <c r="E5" i="8"/>
  <c r="N123" i="8"/>
  <c r="J22" i="8"/>
  <c r="K22" i="8" s="1"/>
  <c r="J78" i="8"/>
  <c r="K44" i="8"/>
  <c r="J45" i="8"/>
  <c r="K45" i="8" s="1"/>
  <c r="D10" i="71"/>
  <c r="L21" i="71"/>
  <c r="D46" i="71"/>
  <c r="D20" i="71"/>
  <c r="O20" i="71" s="1"/>
  <c r="N46" i="71"/>
  <c r="M46" i="71"/>
  <c r="L48" i="71" s="1"/>
  <c r="K46" i="71"/>
  <c r="K10" i="71"/>
  <c r="K21" i="71" s="1"/>
  <c r="M6" i="71"/>
  <c r="O6" i="71"/>
  <c r="N21" i="71"/>
  <c r="E22" i="72" l="1"/>
  <c r="E21" i="62"/>
  <c r="J27" i="60"/>
  <c r="G31" i="60" s="1"/>
  <c r="D21" i="71"/>
  <c r="K19" i="62"/>
  <c r="L19" i="62" s="1"/>
  <c r="F72" i="26"/>
  <c r="G19" i="26"/>
  <c r="M5" i="61"/>
  <c r="M6" i="61" s="1"/>
  <c r="J11" i="63"/>
  <c r="J13" i="63" s="1"/>
  <c r="G13" i="63"/>
  <c r="B35" i="63"/>
  <c r="G34" i="63"/>
  <c r="J34" i="63" s="1"/>
  <c r="E23" i="66"/>
  <c r="E22" i="66"/>
  <c r="M10" i="47"/>
  <c r="E116" i="8"/>
  <c r="E117" i="8" s="1"/>
  <c r="E118" i="8" s="1"/>
  <c r="E119" i="8" s="1"/>
  <c r="E120" i="8" s="1"/>
  <c r="E121" i="8" s="1"/>
  <c r="E122" i="8" s="1"/>
  <c r="K20" i="8"/>
  <c r="D8" i="61"/>
  <c r="I7" i="61"/>
  <c r="J7" i="61" s="1"/>
  <c r="P10" i="47"/>
  <c r="E17" i="60"/>
  <c r="E16" i="60"/>
  <c r="M10" i="71"/>
  <c r="R10" i="71" s="1"/>
  <c r="E7" i="68"/>
  <c r="E18" i="68" s="1"/>
  <c r="J10" i="47"/>
  <c r="P9" i="74"/>
  <c r="R9" i="74"/>
  <c r="G9" i="63"/>
  <c r="J6" i="63"/>
  <c r="J9" i="63" s="1"/>
  <c r="J15" i="60"/>
  <c r="K15" i="60" s="1"/>
  <c r="G69" i="26"/>
  <c r="J69" i="26" s="1"/>
  <c r="B70" i="26"/>
  <c r="G70" i="26" s="1"/>
  <c r="J70" i="26" s="1"/>
  <c r="M123" i="8"/>
  <c r="J19" i="26"/>
  <c r="G10" i="47"/>
  <c r="G31" i="26"/>
  <c r="J30" i="26"/>
  <c r="J31" i="26" s="1"/>
  <c r="B34" i="26"/>
  <c r="G33" i="26"/>
  <c r="J33" i="26" s="1"/>
  <c r="J32" i="26"/>
  <c r="O79" i="8"/>
  <c r="K79" i="8"/>
  <c r="N44" i="8"/>
  <c r="N45" i="8" s="1"/>
  <c r="N46" i="8" s="1"/>
  <c r="N47" i="8" s="1"/>
  <c r="O78" i="8"/>
  <c r="K78" i="8"/>
  <c r="E6" i="8"/>
  <c r="J5" i="8"/>
  <c r="E82" i="8"/>
  <c r="E81" i="8"/>
  <c r="J81" i="8" s="1"/>
  <c r="J80" i="8"/>
  <c r="E49" i="8"/>
  <c r="E48" i="8"/>
  <c r="J48" i="8" s="1"/>
  <c r="K48" i="8" s="1"/>
  <c r="J47" i="8"/>
  <c r="K47" i="8" s="1"/>
  <c r="E25" i="8"/>
  <c r="J24" i="8"/>
  <c r="K24" i="8" s="1"/>
  <c r="N77" i="8"/>
  <c r="L24" i="71"/>
  <c r="M21" i="71" l="1"/>
  <c r="F18" i="68" s="1"/>
  <c r="G18" i="68" s="1"/>
  <c r="P10" i="71"/>
  <c r="J71" i="26"/>
  <c r="G71" i="26"/>
  <c r="D10" i="61"/>
  <c r="D9" i="61"/>
  <c r="I9" i="61" s="1"/>
  <c r="J9" i="61" s="1"/>
  <c r="I8" i="61"/>
  <c r="J8" i="61" s="1"/>
  <c r="D23" i="68"/>
  <c r="E23" i="68" s="1"/>
  <c r="D25" i="68"/>
  <c r="E25" i="68" s="1"/>
  <c r="M7" i="61"/>
  <c r="M8" i="61" s="1"/>
  <c r="M9" i="61" s="1"/>
  <c r="N20" i="8"/>
  <c r="N21" i="8" s="1"/>
  <c r="N22" i="8" s="1"/>
  <c r="N23" i="8" s="1"/>
  <c r="B36" i="63"/>
  <c r="G35" i="63"/>
  <c r="N24" i="8"/>
  <c r="N78" i="8"/>
  <c r="N79" i="8" s="1"/>
  <c r="B35" i="26"/>
  <c r="G34" i="26"/>
  <c r="N48" i="8"/>
  <c r="O81" i="8"/>
  <c r="K81" i="8"/>
  <c r="J25" i="8"/>
  <c r="K25" i="8" s="1"/>
  <c r="N25" i="8" s="1"/>
  <c r="E26" i="8"/>
  <c r="O80" i="8"/>
  <c r="K80" i="8"/>
  <c r="E83" i="8"/>
  <c r="J82" i="8"/>
  <c r="L5" i="8"/>
  <c r="E7" i="8"/>
  <c r="J6" i="8"/>
  <c r="L6" i="8" s="1"/>
  <c r="E50" i="8"/>
  <c r="J49" i="8"/>
  <c r="E25" i="71"/>
  <c r="E24" i="71"/>
  <c r="L23" i="71"/>
  <c r="M23" i="71" s="1"/>
  <c r="J35" i="63" l="1"/>
  <c r="B37" i="63"/>
  <c r="G36" i="63"/>
  <c r="J36" i="63" s="1"/>
  <c r="I10" i="61"/>
  <c r="D11" i="61"/>
  <c r="B36" i="26"/>
  <c r="G35" i="26"/>
  <c r="J35" i="26" s="1"/>
  <c r="J34" i="26"/>
  <c r="E84" i="8"/>
  <c r="J83" i="8"/>
  <c r="O82" i="8"/>
  <c r="K82" i="8"/>
  <c r="J50" i="8"/>
  <c r="K50" i="8" s="1"/>
  <c r="E51" i="8"/>
  <c r="K49" i="8"/>
  <c r="E27" i="8"/>
  <c r="J26" i="8"/>
  <c r="K26" i="8" s="1"/>
  <c r="N26" i="8" s="1"/>
  <c r="E8" i="8"/>
  <c r="J7" i="8"/>
  <c r="N80" i="8"/>
  <c r="N81" i="8" s="1"/>
  <c r="J10" i="61" l="1"/>
  <c r="M10" i="61" s="1"/>
  <c r="B38" i="63"/>
  <c r="G37" i="63"/>
  <c r="J37" i="63" s="1"/>
  <c r="I11" i="61"/>
  <c r="J11" i="61" s="1"/>
  <c r="D12" i="61"/>
  <c r="N82" i="8"/>
  <c r="G36" i="26"/>
  <c r="B37" i="26"/>
  <c r="N49" i="8"/>
  <c r="N50" i="8" s="1"/>
  <c r="E28" i="8"/>
  <c r="J27" i="8"/>
  <c r="E52" i="8"/>
  <c r="J51" i="8"/>
  <c r="L7" i="8"/>
  <c r="O83" i="8"/>
  <c r="K83" i="8"/>
  <c r="J8" i="8"/>
  <c r="E9" i="8"/>
  <c r="E85" i="8"/>
  <c r="J84" i="8"/>
  <c r="M11" i="61" l="1"/>
  <c r="I12" i="61"/>
  <c r="J12" i="61" s="1"/>
  <c r="D13" i="61"/>
  <c r="B39" i="63"/>
  <c r="G38" i="63"/>
  <c r="J38" i="63" s="1"/>
  <c r="N83" i="8"/>
  <c r="K27" i="8"/>
  <c r="M12" i="61"/>
  <c r="B38" i="26"/>
  <c r="G37" i="26"/>
  <c r="J37" i="26" s="1"/>
  <c r="J36" i="26"/>
  <c r="K51" i="8"/>
  <c r="N51" i="8" s="1"/>
  <c r="E86" i="8"/>
  <c r="J86" i="8" s="1"/>
  <c r="J85" i="8"/>
  <c r="E87" i="8"/>
  <c r="L8" i="8"/>
  <c r="O84" i="8"/>
  <c r="K84" i="8"/>
  <c r="N84" i="8" s="1"/>
  <c r="J9" i="8"/>
  <c r="E10" i="8"/>
  <c r="E53" i="8"/>
  <c r="J53" i="8" s="1"/>
  <c r="K53" i="8" s="1"/>
  <c r="J52" i="8"/>
  <c r="K52" i="8" s="1"/>
  <c r="E54" i="8"/>
  <c r="E29" i="8"/>
  <c r="J28" i="8"/>
  <c r="N27" i="8" l="1"/>
  <c r="D14" i="61"/>
  <c r="I14" i="61" s="1"/>
  <c r="J14" i="61" s="1"/>
  <c r="I13" i="61"/>
  <c r="J13" i="61" s="1"/>
  <c r="M13" i="61" s="1"/>
  <c r="D15" i="61"/>
  <c r="B40" i="63"/>
  <c r="G39" i="63"/>
  <c r="J39" i="63" s="1"/>
  <c r="B39" i="26"/>
  <c r="G38" i="26"/>
  <c r="J38" i="26" s="1"/>
  <c r="N52" i="8"/>
  <c r="N53" i="8" s="1"/>
  <c r="J29" i="8"/>
  <c r="E30" i="8"/>
  <c r="E55" i="8"/>
  <c r="J54" i="8"/>
  <c r="K54" i="8" s="1"/>
  <c r="N54" i="8" s="1"/>
  <c r="E88" i="8"/>
  <c r="J87" i="8"/>
  <c r="O86" i="8"/>
  <c r="K86" i="8"/>
  <c r="E11" i="8"/>
  <c r="J10" i="8"/>
  <c r="L9" i="8"/>
  <c r="K28" i="8"/>
  <c r="N28" i="8" s="1"/>
  <c r="K85" i="8"/>
  <c r="N85" i="8" s="1"/>
  <c r="O85" i="8"/>
  <c r="K29" i="8" l="1"/>
  <c r="M14" i="61"/>
  <c r="I15" i="61"/>
  <c r="J15" i="61" s="1"/>
  <c r="D16" i="61"/>
  <c r="B41" i="63"/>
  <c r="G40" i="63"/>
  <c r="J40" i="63" s="1"/>
  <c r="N29" i="8"/>
  <c r="B40" i="26"/>
  <c r="G39" i="26"/>
  <c r="J39" i="26" s="1"/>
  <c r="N86" i="8"/>
  <c r="J88" i="8"/>
  <c r="E89" i="8"/>
  <c r="E31" i="8"/>
  <c r="E32" i="8" s="1"/>
  <c r="J30" i="8"/>
  <c r="L10" i="8"/>
  <c r="E12" i="8"/>
  <c r="J11" i="8"/>
  <c r="O87" i="8"/>
  <c r="K87" i="8"/>
  <c r="E56" i="8"/>
  <c r="J55" i="8"/>
  <c r="K55" i="8" s="1"/>
  <c r="N55" i="8" s="1"/>
  <c r="M15" i="61" l="1"/>
  <c r="B42" i="63"/>
  <c r="G41" i="63"/>
  <c r="J41" i="63" s="1"/>
  <c r="I16" i="61"/>
  <c r="J16" i="61" s="1"/>
  <c r="D17" i="61"/>
  <c r="N87" i="8"/>
  <c r="G40" i="26"/>
  <c r="J40" i="26" s="1"/>
  <c r="B41" i="26"/>
  <c r="L11" i="8"/>
  <c r="J12" i="8"/>
  <c r="E13" i="8"/>
  <c r="J31" i="8"/>
  <c r="K31" i="8" s="1"/>
  <c r="E90" i="8"/>
  <c r="J89" i="8"/>
  <c r="K88" i="8"/>
  <c r="N88" i="8" s="1"/>
  <c r="O88" i="8"/>
  <c r="K30" i="8"/>
  <c r="J56" i="8"/>
  <c r="K56" i="8" s="1"/>
  <c r="N56" i="8" s="1"/>
  <c r="E57" i="8"/>
  <c r="B43" i="63" l="1"/>
  <c r="G42" i="63"/>
  <c r="J42" i="63" s="1"/>
  <c r="N30" i="8"/>
  <c r="N31" i="8" s="1"/>
  <c r="D18" i="61"/>
  <c r="I17" i="61"/>
  <c r="J17" i="61" s="1"/>
  <c r="M16" i="61"/>
  <c r="M17" i="61" s="1"/>
  <c r="B42" i="26"/>
  <c r="G41" i="26"/>
  <c r="J41" i="26" s="1"/>
  <c r="O89" i="8"/>
  <c r="K89" i="8"/>
  <c r="N89" i="8" s="1"/>
  <c r="E14" i="8"/>
  <c r="J14" i="8" s="1"/>
  <c r="J13" i="8"/>
  <c r="E58" i="8"/>
  <c r="J57" i="8"/>
  <c r="K57" i="8" s="1"/>
  <c r="N57" i="8" s="1"/>
  <c r="E91" i="8"/>
  <c r="J90" i="8"/>
  <c r="E33" i="8"/>
  <c r="L12" i="8"/>
  <c r="I18" i="61" l="1"/>
  <c r="J18" i="61" s="1"/>
  <c r="M18" i="61" s="1"/>
  <c r="D19" i="61"/>
  <c r="B44" i="63"/>
  <c r="G43" i="63"/>
  <c r="J43" i="63" s="1"/>
  <c r="J33" i="8"/>
  <c r="K33" i="8" s="1"/>
  <c r="E34" i="8"/>
  <c r="B43" i="26"/>
  <c r="G42" i="26"/>
  <c r="J42" i="26" s="1"/>
  <c r="J91" i="8"/>
  <c r="E92" i="8"/>
  <c r="L14" i="8"/>
  <c r="O90" i="8"/>
  <c r="K90" i="8"/>
  <c r="N90" i="8" s="1"/>
  <c r="L13" i="8"/>
  <c r="J32" i="8"/>
  <c r="K32" i="8" s="1"/>
  <c r="N32" i="8" s="1"/>
  <c r="E59" i="8"/>
  <c r="J58" i="8"/>
  <c r="K58" i="8" s="1"/>
  <c r="N58" i="8" s="1"/>
  <c r="J15" i="8"/>
  <c r="B45" i="63" l="1"/>
  <c r="G44" i="63"/>
  <c r="J44" i="63" s="1"/>
  <c r="I19" i="61"/>
  <c r="J19" i="61" s="1"/>
  <c r="M19" i="61" s="1"/>
  <c r="D20" i="61"/>
  <c r="B44" i="26"/>
  <c r="G43" i="26"/>
  <c r="J43" i="26" s="1"/>
  <c r="L15" i="8"/>
  <c r="E94" i="8"/>
  <c r="E93" i="8"/>
  <c r="J93" i="8" s="1"/>
  <c r="J92" i="8"/>
  <c r="J34" i="8"/>
  <c r="K34" i="8" s="1"/>
  <c r="E35" i="8"/>
  <c r="O91" i="8"/>
  <c r="K91" i="8"/>
  <c r="N91" i="8" s="1"/>
  <c r="J59" i="8"/>
  <c r="K59" i="8" s="1"/>
  <c r="N59" i="8" s="1"/>
  <c r="E61" i="8"/>
  <c r="E60" i="8"/>
  <c r="J60" i="8" s="1"/>
  <c r="K60" i="8" s="1"/>
  <c r="N33" i="8"/>
  <c r="B46" i="63" l="1"/>
  <c r="G45" i="63"/>
  <c r="J45" i="63" s="1"/>
  <c r="D22" i="61"/>
  <c r="I20" i="61"/>
  <c r="J20" i="61" s="1"/>
  <c r="M20" i="61" s="1"/>
  <c r="D21" i="61"/>
  <c r="I21" i="61" s="1"/>
  <c r="J21" i="61" s="1"/>
  <c r="N34" i="8"/>
  <c r="G44" i="26"/>
  <c r="J44" i="26" s="1"/>
  <c r="B45" i="26"/>
  <c r="N60" i="8"/>
  <c r="E62" i="8"/>
  <c r="J61" i="8"/>
  <c r="K61" i="8" s="1"/>
  <c r="N61" i="8" s="1"/>
  <c r="O92" i="8"/>
  <c r="K92" i="8"/>
  <c r="N92" i="8" s="1"/>
  <c r="J35" i="8"/>
  <c r="K35" i="8" s="1"/>
  <c r="E36" i="8"/>
  <c r="O93" i="8"/>
  <c r="K93" i="8"/>
  <c r="J94" i="8"/>
  <c r="E95" i="8"/>
  <c r="M21" i="61" l="1"/>
  <c r="J36" i="8"/>
  <c r="E37" i="8"/>
  <c r="J37" i="8" s="1"/>
  <c r="I22" i="61"/>
  <c r="J22" i="61" s="1"/>
  <c r="M22" i="61" s="1"/>
  <c r="D23" i="61"/>
  <c r="B47" i="63"/>
  <c r="G46" i="63"/>
  <c r="J46" i="63" s="1"/>
  <c r="B46" i="26"/>
  <c r="G45" i="26"/>
  <c r="J45" i="26" s="1"/>
  <c r="N93" i="8"/>
  <c r="K94" i="8"/>
  <c r="N94" i="8" s="1"/>
  <c r="O94" i="8"/>
  <c r="E96" i="8"/>
  <c r="J95" i="8"/>
  <c r="K36" i="8"/>
  <c r="J62" i="8"/>
  <c r="K62" i="8" s="1"/>
  <c r="N62" i="8" s="1"/>
  <c r="E63" i="8"/>
  <c r="N35" i="8"/>
  <c r="K37" i="8" l="1"/>
  <c r="K38" i="8" s="1"/>
  <c r="J38" i="8"/>
  <c r="J39" i="8" s="1"/>
  <c r="P37" i="8" s="1"/>
  <c r="B48" i="63"/>
  <c r="G47" i="63"/>
  <c r="J47" i="63" s="1"/>
  <c r="I23" i="61"/>
  <c r="J23" i="61" s="1"/>
  <c r="M23" i="61" s="1"/>
  <c r="D24" i="61"/>
  <c r="N36" i="8"/>
  <c r="O35" i="8" s="1"/>
  <c r="B47" i="26"/>
  <c r="G46" i="26"/>
  <c r="J46" i="26" s="1"/>
  <c r="E97" i="8"/>
  <c r="J96" i="8"/>
  <c r="J63" i="8"/>
  <c r="K63" i="8" s="1"/>
  <c r="N63" i="8" s="1"/>
  <c r="E64" i="8"/>
  <c r="O95" i="8"/>
  <c r="K95" i="8"/>
  <c r="N95" i="8" s="1"/>
  <c r="B49" i="63" l="1"/>
  <c r="G48" i="63"/>
  <c r="J48" i="63" s="1"/>
  <c r="I24" i="61"/>
  <c r="J24" i="61" s="1"/>
  <c r="M24" i="61" s="1"/>
  <c r="D25" i="61"/>
  <c r="P36" i="8"/>
  <c r="N37" i="8"/>
  <c r="N38" i="8" s="1"/>
  <c r="O38" i="8" s="1"/>
  <c r="B48" i="26"/>
  <c r="B49" i="26" s="1"/>
  <c r="G47" i="26"/>
  <c r="J47" i="26" s="1"/>
  <c r="K15" i="8"/>
  <c r="E65" i="8"/>
  <c r="J64" i="8"/>
  <c r="K64" i="8" s="1"/>
  <c r="N64" i="8" s="1"/>
  <c r="O96" i="8"/>
  <c r="K96" i="8"/>
  <c r="N96" i="8" s="1"/>
  <c r="E98" i="8"/>
  <c r="J97" i="8"/>
  <c r="B50" i="63" l="1"/>
  <c r="G49" i="63"/>
  <c r="J49" i="63" s="1"/>
  <c r="D26" i="61"/>
  <c r="I25" i="61"/>
  <c r="J25" i="61" s="1"/>
  <c r="M25" i="61" s="1"/>
  <c r="G48" i="26"/>
  <c r="J48" i="26" s="1"/>
  <c r="E99" i="8"/>
  <c r="J98" i="8"/>
  <c r="E66" i="8"/>
  <c r="J65" i="8"/>
  <c r="K65" i="8" s="1"/>
  <c r="N65" i="8" s="1"/>
  <c r="K97" i="8"/>
  <c r="N97" i="8" s="1"/>
  <c r="O97" i="8"/>
  <c r="I26" i="61" l="1"/>
  <c r="J26" i="61" s="1"/>
  <c r="M26" i="61" s="1"/>
  <c r="D27" i="61"/>
  <c r="B51" i="63"/>
  <c r="G50" i="63"/>
  <c r="J50" i="63" s="1"/>
  <c r="O98" i="8"/>
  <c r="K98" i="8"/>
  <c r="N98" i="8" s="1"/>
  <c r="E67" i="8"/>
  <c r="J66" i="8"/>
  <c r="K66" i="8" s="1"/>
  <c r="N66" i="8" s="1"/>
  <c r="J99" i="8"/>
  <c r="E100" i="8"/>
  <c r="B52" i="63" l="1"/>
  <c r="G51" i="63"/>
  <c r="J51" i="63" s="1"/>
  <c r="I27" i="61"/>
  <c r="J27" i="61" s="1"/>
  <c r="M27" i="61" s="1"/>
  <c r="D28" i="61"/>
  <c r="K99" i="8"/>
  <c r="N99" i="8" s="1"/>
  <c r="O99" i="8"/>
  <c r="E101" i="8"/>
  <c r="J100" i="8"/>
  <c r="E68" i="8"/>
  <c r="J67" i="8"/>
  <c r="K67" i="8" s="1"/>
  <c r="N67" i="8" s="1"/>
  <c r="B53" i="63" l="1"/>
  <c r="G52" i="63"/>
  <c r="J52" i="63" s="1"/>
  <c r="D30" i="61"/>
  <c r="I30" i="61" s="1"/>
  <c r="I28" i="61"/>
  <c r="J28" i="61" s="1"/>
  <c r="M28" i="61" s="1"/>
  <c r="D29" i="61"/>
  <c r="I29" i="61" s="1"/>
  <c r="J29" i="61" s="1"/>
  <c r="B50" i="26"/>
  <c r="B51" i="26" s="1"/>
  <c r="B52" i="26" s="1"/>
  <c r="G49" i="26"/>
  <c r="J49" i="26" s="1"/>
  <c r="E69" i="8"/>
  <c r="J68" i="8"/>
  <c r="K68" i="8" s="1"/>
  <c r="N68" i="8" s="1"/>
  <c r="O100" i="8"/>
  <c r="K100" i="8"/>
  <c r="N100" i="8" s="1"/>
  <c r="E102" i="8"/>
  <c r="J101" i="8"/>
  <c r="M29" i="61" l="1"/>
  <c r="J30" i="61"/>
  <c r="J31" i="61" s="1"/>
  <c r="I31" i="61"/>
  <c r="B54" i="63"/>
  <c r="G53" i="63"/>
  <c r="J53" i="63" s="1"/>
  <c r="G50" i="26"/>
  <c r="J50" i="26" s="1"/>
  <c r="O101" i="8"/>
  <c r="K101" i="8"/>
  <c r="N101" i="8" s="1"/>
  <c r="J102" i="8"/>
  <c r="E103" i="8"/>
  <c r="J103" i="8" s="1"/>
  <c r="E70" i="8"/>
  <c r="J70" i="8" s="1"/>
  <c r="J69" i="8"/>
  <c r="K69" i="8" s="1"/>
  <c r="K71" i="8" s="1"/>
  <c r="B55" i="63" l="1"/>
  <c r="G54" i="63"/>
  <c r="J54" i="63" s="1"/>
  <c r="J33" i="61"/>
  <c r="J35" i="61"/>
  <c r="M30" i="61"/>
  <c r="M31" i="61" s="1"/>
  <c r="K70" i="8"/>
  <c r="J71" i="8"/>
  <c r="K102" i="8"/>
  <c r="K104" i="8" s="1"/>
  <c r="O102" i="8"/>
  <c r="O103" i="8"/>
  <c r="O104" i="8" s="1"/>
  <c r="M105" i="8" s="1"/>
  <c r="K103" i="8"/>
  <c r="J104" i="8"/>
  <c r="N69" i="8"/>
  <c r="N70" i="8" l="1"/>
  <c r="N71" i="8" s="1"/>
  <c r="B56" i="63"/>
  <c r="G55" i="63"/>
  <c r="J55" i="63" s="1"/>
  <c r="N102" i="8"/>
  <c r="N103" i="8" s="1"/>
  <c r="N104" i="8" s="1"/>
  <c r="B57" i="63" l="1"/>
  <c r="G56" i="63"/>
  <c r="J56" i="63" s="1"/>
  <c r="G51" i="26"/>
  <c r="J51" i="26" s="1"/>
  <c r="B58" i="63" l="1"/>
  <c r="G57" i="63"/>
  <c r="J57" i="63" s="1"/>
  <c r="B53" i="26"/>
  <c r="B54" i="26" s="1"/>
  <c r="G52" i="26"/>
  <c r="J52" i="26" s="1"/>
  <c r="B59" i="63" l="1"/>
  <c r="G58" i="63"/>
  <c r="J58" i="63" s="1"/>
  <c r="G53" i="26"/>
  <c r="J53" i="26" s="1"/>
  <c r="B60" i="63" l="1"/>
  <c r="G59" i="63"/>
  <c r="J59" i="63" s="1"/>
  <c r="G54" i="26"/>
  <c r="J54" i="26" s="1"/>
  <c r="B55" i="26"/>
  <c r="B61" i="63" l="1"/>
  <c r="G60" i="63"/>
  <c r="J60" i="63" s="1"/>
  <c r="B57" i="26"/>
  <c r="G55" i="26"/>
  <c r="G61" i="63" l="1"/>
  <c r="B63" i="63"/>
  <c r="J55" i="26"/>
  <c r="J56" i="26" s="1"/>
  <c r="G56" i="26"/>
  <c r="G57" i="26"/>
  <c r="B59" i="26"/>
  <c r="B60" i="26" s="1"/>
  <c r="B65" i="63" l="1"/>
  <c r="G63" i="63"/>
  <c r="J61" i="63"/>
  <c r="J62" i="63" s="1"/>
  <c r="G62" i="63"/>
  <c r="G59" i="26"/>
  <c r="G58" i="26"/>
  <c r="J57" i="26"/>
  <c r="J58" i="26" s="1"/>
  <c r="J63" i="63" l="1"/>
  <c r="J64" i="63" s="1"/>
  <c r="G64" i="63"/>
  <c r="G65" i="63"/>
  <c r="B66" i="63"/>
  <c r="J59" i="26"/>
  <c r="G66" i="63" l="1"/>
  <c r="J66" i="63" s="1"/>
  <c r="B67" i="63"/>
  <c r="J65" i="63"/>
  <c r="B61" i="26"/>
  <c r="G60" i="26"/>
  <c r="J60" i="26" s="1"/>
  <c r="G67" i="63" l="1"/>
  <c r="B68" i="63"/>
  <c r="G61" i="26"/>
  <c r="G68" i="63" l="1"/>
  <c r="J68" i="63" s="1"/>
  <c r="B69" i="63"/>
  <c r="J67" i="63"/>
  <c r="J61" i="26"/>
  <c r="G69" i="63" l="1"/>
  <c r="B71" i="63"/>
  <c r="B64" i="26"/>
  <c r="G64" i="26" s="1"/>
  <c r="J64" i="26" s="1"/>
  <c r="G63" i="26"/>
  <c r="G62" i="26"/>
  <c r="J62" i="26"/>
  <c r="G71" i="63" l="1"/>
  <c r="B72" i="63"/>
  <c r="G72" i="63" s="1"/>
  <c r="J72" i="63" s="1"/>
  <c r="J69" i="63"/>
  <c r="J70" i="63" s="1"/>
  <c r="G70" i="63"/>
  <c r="J63" i="26"/>
  <c r="J65" i="26" s="1"/>
  <c r="J72" i="26" s="1"/>
  <c r="F73" i="26" s="1"/>
  <c r="G75" i="26" s="1"/>
  <c r="G65" i="26"/>
  <c r="G72" i="26" s="1"/>
  <c r="G73" i="63" l="1"/>
  <c r="G74" i="63" s="1"/>
  <c r="J71" i="63"/>
  <c r="J73" i="63" s="1"/>
  <c r="J74" i="63" s="1"/>
  <c r="F75" i="6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қарздории дар назди БМТ!$A$1:$A$13" type="102" refreshedVersion="5" minRefreshableVersion="5">
    <extLst>
      <ext xmlns:x15="http://schemas.microsoft.com/office/spreadsheetml/2010/11/main" uri="{DE250136-89BD-433C-8126-D09CA5730AF9}">
        <x15:connection id="Диапазон-6001b6df-3d5c-448c-8547-2fe6d42f60ff" autoDelete="1">
          <x15:rangePr sourceName="_xlcn.WorksheetConnection_қарздориидарназдиБМТA1A131"/>
        </x15:connection>
      </ext>
    </extLst>
  </connection>
</connections>
</file>

<file path=xl/sharedStrings.xml><?xml version="1.0" encoding="utf-8"?>
<sst xmlns="http://schemas.openxmlformats.org/spreadsheetml/2006/main" count="1405" uniqueCount="321">
  <si>
    <t xml:space="preserve">Номгӯи қарз </t>
  </si>
  <si>
    <t xml:space="preserve">Асос </t>
  </si>
  <si>
    <t xml:space="preserve">Маблағи Вексели ба муомилот баровардашуда </t>
  </si>
  <si>
    <t xml:space="preserve"> Соли барориш  </t>
  </si>
  <si>
    <t xml:space="preserve">Мӯҳлати гардиш </t>
  </si>
  <si>
    <t xml:space="preserve">Вексели давлатӣ барои танзими 37 қарзҳои мушкилситони ҶСК "Агроинвестбонк" </t>
  </si>
  <si>
    <t xml:space="preserve"> ҚҲҶТ № 178 аз 30.04.2012 сол  </t>
  </si>
  <si>
    <t xml:space="preserve"> меъёри бозтамвил на зиёда аз 8%  </t>
  </si>
  <si>
    <t xml:space="preserve"> ҚҲҶТ № 527 аз 12.12.2016 сол  </t>
  </si>
  <si>
    <t>Векселњои хазинадории Вазорати молия барои пушонидани касри буҷет</t>
  </si>
  <si>
    <t xml:space="preserve"> ҚҲҶТ № 627  аз 17.11.2009 сол </t>
  </si>
  <si>
    <t>91 рӯз</t>
  </si>
  <si>
    <t>бе фоиз</t>
  </si>
  <si>
    <t>Қарзи Вазорати молия дар назди БМТ</t>
  </si>
  <si>
    <t xml:space="preserve">шартномаи қарзӣ аз 2 майи 2019 сол, № 1/001/19 </t>
  </si>
  <si>
    <t>№</t>
  </si>
  <si>
    <t>ММД</t>
  </si>
  <si>
    <t>Қарзи асосии пардохтшуда</t>
  </si>
  <si>
    <t>Меъёри фоиз</t>
  </si>
  <si>
    <t xml:space="preserve">Вексели давлатӣ барои сармоякунонии ҶСК "Агроинвестбонк" </t>
  </si>
  <si>
    <t>(бо сомонӣ)</t>
  </si>
  <si>
    <t>2022 сол</t>
  </si>
  <si>
    <t>2019 сол</t>
  </si>
  <si>
    <t>Ҳамагӣ</t>
  </si>
  <si>
    <t>Давраи қарз</t>
  </si>
  <si>
    <t>Маблағи қарз</t>
  </si>
  <si>
    <t>Сол</t>
  </si>
  <si>
    <t>Қарзи асосии ҳисобшуда</t>
  </si>
  <si>
    <t>Фоизи ҳисобшуда</t>
  </si>
  <si>
    <t>Ҳамагӣ уҳдадориҳо</t>
  </si>
  <si>
    <t>Х</t>
  </si>
  <si>
    <t>Руз</t>
  </si>
  <si>
    <t xml:space="preserve"> </t>
  </si>
  <si>
    <t>(бо ҳазор сомонӣ)</t>
  </si>
  <si>
    <t>Номгӯи қарз</t>
  </si>
  <si>
    <t>Мӯҳлати гардиш</t>
  </si>
  <si>
    <t>Вексели давлатии Вазорати молия барои сармоякунонии ҶСК "Тоҷиксодиротбонк"</t>
  </si>
  <si>
    <t>2021 сол</t>
  </si>
  <si>
    <t>Вексели давлатии Вазорати молия барои сармоякунонии ҶСК "Агроинвестбонк"</t>
  </si>
  <si>
    <t>Вексели давлатии Вазорати молия барои танзими 37 қарзҳои ҶСК "Агроинвестбонк"</t>
  </si>
  <si>
    <t>2020 cол</t>
  </si>
  <si>
    <t xml:space="preserve">1 сол </t>
  </si>
  <si>
    <t xml:space="preserve">ММД бо млн.сомонӣ  </t>
  </si>
  <si>
    <t xml:space="preserve">ММД бо млн.доллари ИМА  </t>
  </si>
  <si>
    <t>Қарзи дохилӣ нисбат ба ММД</t>
  </si>
  <si>
    <t>Қарзи мазкур нисбат ба ММД</t>
  </si>
  <si>
    <t>Қарзи мазкур нисбат ба қарзи дохила (бо фоиз)</t>
  </si>
  <si>
    <t xml:space="preserve">Ҷадвали ҳисоби хизматрасонии қарзи Вазорати молия дар назди Бонки миллии Тоҷикистон </t>
  </si>
  <si>
    <t xml:space="preserve">Маълумот оид ба ҳисоботи фоизҳои ҳисобшуда аз рӯи Векселҳои давлатӣ (500 млн.сомонӣ) </t>
  </si>
  <si>
    <t>Маблағи вексел</t>
  </si>
  <si>
    <t>Андозаи % меъёри бозтамвил                          (на зиёда аз 8%)</t>
  </si>
  <si>
    <t>миқдори рӯз</t>
  </si>
  <si>
    <t xml:space="preserve">Маблағи пардохтшуда </t>
  </si>
  <si>
    <t>Бақияи фоиз</t>
  </si>
  <si>
    <t>Қарзи асосӣ</t>
  </si>
  <si>
    <t>Фоиз</t>
  </si>
  <si>
    <t>Қарзи Вазорати молия дар назди Бонки миллии Тоҷикистон</t>
  </si>
  <si>
    <t>маблағҳои ҳисобшуда тибқи нақша</t>
  </si>
  <si>
    <t>қарзи асосӣ</t>
  </si>
  <si>
    <t>фоизи пардохтшуда</t>
  </si>
  <si>
    <t>қурби 1 доллари ИМА нисбат ба сомонӣ</t>
  </si>
  <si>
    <t>Ҷамъ: Қарзи дохилии 
Ҷумҳурии Тоҷикистон</t>
  </si>
  <si>
    <t>Нишондиҳандаҳо</t>
  </si>
  <si>
    <t xml:space="preserve">фарқият </t>
  </si>
  <si>
    <t>Қарзи дохилӣ бо ҳазор доллари ИМА.</t>
  </si>
  <si>
    <t>Ҳамагӣ маблағи пардохтшуда</t>
  </si>
  <si>
    <t>Ҳамагӣ қарздории қарзи асосӣ ва фоиз:</t>
  </si>
  <si>
    <t>Давраи ҳисобкунӣ, (аз, то)</t>
  </si>
  <si>
    <t>Ҳамагӣ дар соли 2020:</t>
  </si>
  <si>
    <t>Ҳамагӣдар соли 2019:</t>
  </si>
  <si>
    <t>Ҳамагӣ дар соли 2021:</t>
  </si>
  <si>
    <t>Фоизи пардохтшуда</t>
  </si>
  <si>
    <t>соли 2019</t>
  </si>
  <si>
    <t>соли 2020</t>
  </si>
  <si>
    <t>Сол (руз)</t>
  </si>
  <si>
    <t>Ҳамагӣ дар соли 2012:</t>
  </si>
  <si>
    <t>Ҳамагӣ дар соли 2013:</t>
  </si>
  <si>
    <t>Ҳамагӣ дар соли 2014:</t>
  </si>
  <si>
    <t>Ҳамагӣ дар соли 2015:</t>
  </si>
  <si>
    <t>Ҳамагӣ дар соли 2016:</t>
  </si>
  <si>
    <t>Ҳамагӣ дар соли 2017:</t>
  </si>
  <si>
    <t>Ҳамагӣ дар соли 2018:</t>
  </si>
  <si>
    <t>соли 2021</t>
  </si>
  <si>
    <t>X</t>
  </si>
  <si>
    <t xml:space="preserve">Векселҳои давлатӣ сармоякунонии ҶСК "Тоҷиксодиротбонк" </t>
  </si>
  <si>
    <t xml:space="preserve">Векселҳои давлатӣ сармоякунонии ҶСК "Агроинвестбонк" </t>
  </si>
  <si>
    <t>1% аз арзиши аслӣ ҳангоми фуруши вомбаргҳо</t>
  </si>
  <si>
    <t>тағйирёбанда (0,99% - 2%)</t>
  </si>
  <si>
    <t>ММД бо ҳазор сомонӣ</t>
  </si>
  <si>
    <t>Қарзи дохила нисбат ба ММД %</t>
  </si>
  <si>
    <t>Ҳамагӣ иҷроиш</t>
  </si>
  <si>
    <r>
      <t>(бо ҳазор сомонӣ) </t>
    </r>
    <r>
      <rPr>
        <b/>
        <i/>
        <sz val="12"/>
        <rFont val="Times New Roman Tj"/>
        <family val="1"/>
        <charset val="204"/>
      </rPr>
      <t xml:space="preserve"> </t>
    </r>
  </si>
  <si>
    <t>Ҳамагӣ дар соли 2022:</t>
  </si>
  <si>
    <t xml:space="preserve">соли 2022 </t>
  </si>
  <si>
    <t>Ҷамъ:</t>
  </si>
  <si>
    <t>Фоизҳои пардохтшуда дар соли 2023</t>
  </si>
  <si>
    <t>то 2023</t>
  </si>
  <si>
    <t>Ҳамагӣ дар соли 2023:</t>
  </si>
  <si>
    <t>Пардохти қарзи асоси дар соли 2023</t>
  </si>
  <si>
    <t>Пардохти қарзи асоси дар соли 2024</t>
  </si>
  <si>
    <t>Фоизҳои пардохтшуда дар соли 2024</t>
  </si>
  <si>
    <t>* Эзоҳ: Аз нақшаи дар соли 2023 пешбинишуда ба ҳолати 30 июни соли 2023 аз ҳисоби қарзи асосӣ ба маблағи 76,1 млн сомонӣ пардохт шудааст.</t>
  </si>
  <si>
    <t>соли 2023</t>
  </si>
  <si>
    <t>Пардохт тибқи нақша</t>
  </si>
  <si>
    <t>Маблағҳои ҳисобшуда тибқи нақша дар соли 2023</t>
  </si>
  <si>
    <t>соли 2025 нақша</t>
  </si>
  <si>
    <t>соли 2026 нақша</t>
  </si>
  <si>
    <t>соли 2027 нақша</t>
  </si>
  <si>
    <t>соли 2028 нақша</t>
  </si>
  <si>
    <t>соли 2029 нақша</t>
  </si>
  <si>
    <t>соли 2030 нақша</t>
  </si>
  <si>
    <t>Пардохти қарзи асоси дар соли 2025</t>
  </si>
  <si>
    <t>Фоизҳои пардохтшуда дар соли 2025</t>
  </si>
  <si>
    <t>Пардохти / тибқи нақша</t>
  </si>
  <si>
    <t>Бақияи уҳдадориҳо ба ҳолати 22 декабри соли 2023</t>
  </si>
  <si>
    <t>барзиёдӣ</t>
  </si>
  <si>
    <t>Бақия дар нақша ҳамагӣ 235,1 млн (бюджет-63,8 млн)</t>
  </si>
  <si>
    <t>Қарзи дохила бо ҳазор доллари ИМА - 31.12.2023</t>
  </si>
  <si>
    <t>Фарқият байни 31.12.2022 ва 31.12.2023</t>
  </si>
  <si>
    <t>Бақияи қарзи дохила ба ҳолати 31.12.2023</t>
  </si>
  <si>
    <t>Пардохти қарзи асоси дар соли 2026</t>
  </si>
  <si>
    <t>Фоизҳои пардохтшуда дар соли 2026</t>
  </si>
  <si>
    <t>Бақияи уҳдадориҳо ба ҳолати 31 декабри соли 2023</t>
  </si>
  <si>
    <t>созишнома оид ба гузашти ҳуқуқу уҳдадориҳо ва ҳисоббаробаркунӣ аз 03.08.2023</t>
  </si>
  <si>
    <t>Аз ҳисоби буҷети давлатӣ иҷро намудани уҳдадориҳои ҶСК "Тоҷиксодиротбонк" дар назди ҶС “ЭКСАР”-и Федератияи Россия</t>
  </si>
  <si>
    <t xml:space="preserve">Векселҳои давлатӣ барои сармоякунонии ҶСК "Тоҷиксодиротбонк" </t>
  </si>
  <si>
    <t xml:space="preserve">Векселҳои давлатӣ барои сармоякунонии ҶСК "Агроинвестбонк" </t>
  </si>
  <si>
    <t xml:space="preserve"> ҚҲҶТ аз 30.04.2012, №178  </t>
  </si>
  <si>
    <t>Қарзи Вазорати молия дар назди Бонки миллӣ</t>
  </si>
  <si>
    <t xml:space="preserve">2012-2020 </t>
  </si>
  <si>
    <t xml:space="preserve">2016-2021 </t>
  </si>
  <si>
    <t xml:space="preserve">2012-2017 </t>
  </si>
  <si>
    <t>2008-2019</t>
  </si>
  <si>
    <t xml:space="preserve">Бақияи қарзи дохили ба ҳолати 31.12.2022 с. </t>
  </si>
  <si>
    <t>Пардохти фоизҳо дар соли 2023</t>
  </si>
  <si>
    <t xml:space="preserve">Бақияи қарзи дохили ба ҳолати 31.12.2023 с. </t>
  </si>
  <si>
    <t xml:space="preserve">Маълумоти аниқшуда оид ба хизматрасонии қарзи дохилӣ давлатӣ ба ҳолати 31 декабри соли 2023 бо назардошти векселҳои хазинадорӣ ва бонкҳои муфлисгардида. </t>
  </si>
  <si>
    <t xml:space="preserve"> ҚҲҶТ аз 12.12.2016, №527  </t>
  </si>
  <si>
    <t xml:space="preserve"> ҚҲҶТ аз 30.04.2012, №178   </t>
  </si>
  <si>
    <t xml:space="preserve"> ҚҲҶТ аз 31.12.2008, №669</t>
  </si>
  <si>
    <t xml:space="preserve"> ҚҲҶТ аз 17.11.2009, №627 </t>
  </si>
  <si>
    <t>Вомбарги дохилию давлатии бурдноки Вазорати молия дар назди КВД БА ҶТ "Амонатбонк"</t>
  </si>
  <si>
    <t>Эзоҳ : Инчунин қайд кардан ба маврид аст, аз ҳисоби буҷети давлатӣ иҷро намудани уҳдадориҳои ҶСК "Тоҷиксодиротбонк" дар назди ҶС “ЭКСАР”-и Федератияи Россияки карзи ҶС “ЭКСАР” бо мубодилаи рубли русси дар асоси созишнома оид ба гузашти ҳуқуқу уҳдадориҳо ва ҳисоббаробаркунӣ аз 03.08.2023с. ва дархости ширкат аз 16 августи соли 2023, №629/ЭКСАР ба маблағи 32 561 000 сомонӣ ба Бонки миллӣ пардохт карда шудааст.</t>
  </si>
  <si>
    <t>Ҳамагӣ дар соли 2024:</t>
  </si>
  <si>
    <t xml:space="preserve">Бақияи уҳдадориҳо </t>
  </si>
  <si>
    <t>Ҳисоби апи Тахмина</t>
  </si>
  <si>
    <t>Дар маҷмуъ бо назардошти уҳдадориҳои ҶС "ЭКСАР"</t>
  </si>
  <si>
    <t>Пардохти фоизҳо дар соли 2024</t>
  </si>
  <si>
    <t>"= (884 695 001,99)+200 000 000 = 1 084 695 001,99</t>
  </si>
  <si>
    <t>Маълумот оид ба хизматрасонии қарзи давлатии Ҷумҳурии Тоҷикистон, ки аз ҳисоби Буҷети давлатӣ дар солҳои 2024-2026 пардохт мегардад.</t>
  </si>
  <si>
    <t>Маълумот оид ба хизматрасонии қарзи Вазорати молия дар назди Бонки миллии Тоҷикистона аз руи Созишномаи иловагӣ аз 31 декабри соли 2020, 1/001/20 ба Шартномаи қарзӣ аз 2 майи 2019 сол, № 1/001/19 ба ҳолати 29 феврали соли 2024</t>
  </si>
  <si>
    <t>Бақияи фоизҳо 31 декабри соли 2023</t>
  </si>
  <si>
    <t>Маълумот оид ба хизматрасонии қарзи Вазорати молия дар назди Бонки миллии Тоҷикистона аз руи Созишномаи иловагӣ аз 31 декабри соли 2020, 1/001/20 ба Шартномаи қарзӣ аз 2 майи 2019 сол, № 1/001/19 ба ҳолати 31 декабри соли 2023</t>
  </si>
  <si>
    <t>фоизи ман хисоб кардаги аз соли 2024</t>
  </si>
  <si>
    <t>ба ҳолати 26 феврили соли 2024</t>
  </si>
  <si>
    <t>Маълумот оид ба хизматрасонии қарзи Вазорати молия дар назди Бонки миллии Тоҷикистона аз рӯйи Созишномаи иловагӣ аз 16 марти соли 2023 №1/001/23 ба Шартномаи қарзӣ аз 2 майи 2019 сол, № 1/001/19 ба ҳолати 31 декабри соли 2023</t>
  </si>
  <si>
    <t>Вомбаргҳои давлатии Вазорати молия (6 моҳ)</t>
  </si>
  <si>
    <t xml:space="preserve">Тақвими барориш барои соли 2024 </t>
  </si>
  <si>
    <t>181 рӯз</t>
  </si>
  <si>
    <t>Вомбаргҳои давлатии Вазорати молия (1 сол)</t>
  </si>
  <si>
    <t>366 рӯз</t>
  </si>
  <si>
    <t>Вомбаргҳои давлатии Вазорати молия (2 сол)</t>
  </si>
  <si>
    <t>731 рӯз</t>
  </si>
  <si>
    <t>ба ҳолати 31 марти соли 2024</t>
  </si>
  <si>
    <t xml:space="preserve">Бақияи қарзи дохили ба ҳолати 31.03.2024 с. </t>
  </si>
  <si>
    <t>оф.нбт</t>
  </si>
  <si>
    <t>Фарқият байни 31.12.2023 ва 31.03.2024</t>
  </si>
  <si>
    <t>Рақами бақайдгирӣ</t>
  </si>
  <si>
    <t>Ҳамагӣ вомбаргҳои давлатӣ</t>
  </si>
  <si>
    <t>Ҳамаги маблағи коғазҳои қиматноки давлатӣ ва қарзи ҲҶТ дар назди БМТ</t>
  </si>
  <si>
    <t>Қарзи Ҳукумати Ҷумҳурии Тоҷикистон дар назди Бонки миллӣ</t>
  </si>
  <si>
    <t>дисконт 5%-8%</t>
  </si>
  <si>
    <t>Маълумоти аниқшуда оид ба хизматрасонии қарзи давлатӣ ба ҳолати 31 марти соли 2024</t>
  </si>
  <si>
    <r>
      <t>D181</t>
    </r>
    <r>
      <rPr>
        <sz val="12"/>
        <color rgb="FFFF0000"/>
        <rFont val="Times New Roman Tj"/>
        <family val="1"/>
        <charset val="204"/>
      </rPr>
      <t>01</t>
    </r>
    <r>
      <rPr>
        <sz val="12"/>
        <rFont val="Times New Roman Tj"/>
        <family val="1"/>
        <charset val="204"/>
      </rPr>
      <t>0724</t>
    </r>
  </si>
  <si>
    <r>
      <t>D366</t>
    </r>
    <r>
      <rPr>
        <sz val="12"/>
        <color rgb="FFFF0000"/>
        <rFont val="Times New Roman Tj"/>
        <family val="1"/>
        <charset val="204"/>
      </rPr>
      <t>02</t>
    </r>
    <r>
      <rPr>
        <sz val="12"/>
        <rFont val="Times New Roman Tj"/>
        <family val="1"/>
        <charset val="204"/>
      </rPr>
      <t>0125</t>
    </r>
  </si>
  <si>
    <r>
      <t>D731</t>
    </r>
    <r>
      <rPr>
        <sz val="12"/>
        <color rgb="FFFF0000"/>
        <rFont val="Times New Roman Tj"/>
        <family val="1"/>
        <charset val="204"/>
      </rPr>
      <t>03</t>
    </r>
    <r>
      <rPr>
        <sz val="12"/>
        <rFont val="Times New Roman Tj"/>
        <family val="1"/>
        <charset val="204"/>
      </rPr>
      <t>0126</t>
    </r>
  </si>
  <si>
    <r>
      <t>D181</t>
    </r>
    <r>
      <rPr>
        <sz val="12"/>
        <color rgb="FFFF0000"/>
        <rFont val="Times New Roman Tj"/>
        <family val="1"/>
        <charset val="204"/>
      </rPr>
      <t>04</t>
    </r>
    <r>
      <rPr>
        <sz val="12"/>
        <rFont val="Times New Roman Tj"/>
        <family val="1"/>
        <charset val="204"/>
      </rPr>
      <t>0924</t>
    </r>
  </si>
  <si>
    <t>Қарзи дохила бо ҳазор доллари ИМА - 31.03.2024</t>
  </si>
  <si>
    <r>
      <t>D181</t>
    </r>
    <r>
      <rPr>
        <sz val="12"/>
        <color rgb="FFFF0000"/>
        <rFont val="Times New Roman Tj"/>
        <family val="1"/>
        <charset val="204"/>
      </rPr>
      <t>05</t>
    </r>
    <r>
      <rPr>
        <sz val="12"/>
        <rFont val="Times New Roman Tj"/>
        <family val="1"/>
        <charset val="204"/>
      </rPr>
      <t>1024</t>
    </r>
  </si>
  <si>
    <t>дисконт 5%-7%</t>
  </si>
  <si>
    <t>дисконт 6%-8%</t>
  </si>
  <si>
    <r>
      <t>D181</t>
    </r>
    <r>
      <rPr>
        <sz val="12"/>
        <color rgb="FFFF0000"/>
        <rFont val="Times New Roman Tj"/>
        <family val="1"/>
        <charset val="204"/>
      </rPr>
      <t>06</t>
    </r>
    <r>
      <rPr>
        <sz val="12"/>
        <rFont val="Times New Roman Tj"/>
        <family val="1"/>
        <charset val="204"/>
      </rPr>
      <t>1124</t>
    </r>
  </si>
  <si>
    <t xml:space="preserve">Бақияи қарзи дохили ба ҳолати 29.05.2024 с. </t>
  </si>
  <si>
    <t xml:space="preserve">Бақияи қарзи дохили ба ҳолати 30.04.2024 с. </t>
  </si>
  <si>
    <t>Фарқият байни 31.12.2023 ва 30.04.2024</t>
  </si>
  <si>
    <t>Қарзи дохила бо ҳазор доллари ИМА - 30.04.2024</t>
  </si>
  <si>
    <t>Маълумоти аниқшуда оид ба хизматрасонии қарзи давлатӣ ба ҳолати 31 майи соли 2024</t>
  </si>
  <si>
    <t xml:space="preserve">Бақияи қарзи дохили ба ҳолати 31.05.2024 с. </t>
  </si>
  <si>
    <t xml:space="preserve">Бақияи қарзи дохили ба ҳолати 30.06.2024 с. </t>
  </si>
  <si>
    <t>Қарзи дохила бо ҳазор доллари ИМА - 31.05.2024</t>
  </si>
  <si>
    <t>Фарқият байни 31.12.2023 ва 31.05.2024</t>
  </si>
  <si>
    <t>Маълумоти аниқшуда оид ба хизматрасонии қарзи давлатӣ ба ҳолати 30 апрели соли 2024</t>
  </si>
  <si>
    <t>Тақвими барориш барои соли 2025</t>
  </si>
  <si>
    <t>Ҳамагӣ маблағи коғазҳои қиматноки давлатӣ ва қарзи ҲҶТ дар назди БМТ</t>
  </si>
  <si>
    <t>Маълумоти аниқшуда оиди хизматрасонии қарзи давлатӣ дар назди БМТ ба ҳолати 29 майи соли 2024</t>
  </si>
  <si>
    <t>Маълумоти аниқшуда оиди хизматрасонии қарзи давлатӣ дар назди БМТ ба ҳолати 30 апрели соли 2024</t>
  </si>
  <si>
    <t>Маълумоти аниқшуда оид ба хизматрасонии қарзи давлатӣ ба ҳолати 12 июни соли 2024</t>
  </si>
  <si>
    <t>Фоизи ҳисобшуда Апи Мижгон</t>
  </si>
  <si>
    <t xml:space="preserve">Бақияи фоизи қарзи дохилӣ ба ҳолати 31.12.2023 с. </t>
  </si>
  <si>
    <t xml:space="preserve">Бақияи қ/а қарзи дохили ба ҳолати 31.12.2023 с. </t>
  </si>
  <si>
    <t xml:space="preserve">Бақияи қ/а қарзи дохили ба ҳолати 30.06.2024 с. </t>
  </si>
  <si>
    <t xml:space="preserve">Бақияи фоизи қарзи дохили ба ҳолати 20.06.2024 с. </t>
  </si>
  <si>
    <t>Маълумоти пешакӣ оид ба хизматрасонии қарзи давлатӣ ба ҳолати 20 июни соли 2024 (Апи Тахмин ба барои маълумот)</t>
  </si>
  <si>
    <t>Бақияи фоизи қарзи дохилӣ ба ҳолати 31.12.2023</t>
  </si>
  <si>
    <t>Бақияи фоизи қарзи дохили ба ҳолати 20.06.2024</t>
  </si>
  <si>
    <t>Тақвими барориш барои соли 2024</t>
  </si>
  <si>
    <r>
      <t>D181</t>
    </r>
    <r>
      <rPr>
        <sz val="12"/>
        <color rgb="FFFF0000"/>
        <rFont val="Times New Roman Tj"/>
        <family val="1"/>
        <charset val="204"/>
      </rPr>
      <t>07</t>
    </r>
    <r>
      <rPr>
        <sz val="12"/>
        <rFont val="Times New Roman Tj"/>
        <family val="1"/>
        <charset val="204"/>
      </rPr>
      <t>1224</t>
    </r>
  </si>
  <si>
    <t>Маълумоти пешакӣ оид ба хизматрасонии қарзи давлатӣ ба ҳолати 28 июни соли 2024</t>
  </si>
  <si>
    <t>Бақияи фоизи қарзи дохили ба ҳолати 30.06.2024</t>
  </si>
  <si>
    <t>Қарзи дохила бо ҳазор доллари ИМА - 30.06.2024</t>
  </si>
  <si>
    <t>Фарқият байни 31.12.2023 ва 30.06.2024</t>
  </si>
  <si>
    <t>Маълумоти аниқшуда оид ба хизматрасонии қарзи давлатӣ ба ҳолати 30 июни соли 2024</t>
  </si>
  <si>
    <t>31.06.2024</t>
  </si>
  <si>
    <t xml:space="preserve"> Маълумоти аниқшуда ба бақияи қарзи дохилии давлатии Ҷумҳурии Тоҷикистон ба ҳолати 31 июни соли 2024                            </t>
  </si>
  <si>
    <t>Бақияи қарзи дохила ба ҳолати 31.06.2024</t>
  </si>
  <si>
    <t xml:space="preserve">тибқи Созишномаи иловагии № 1/001/21 аз 16 марти соли 2023 dа Шартномаи №1/001/19 аз 2 майи соли 2019 </t>
  </si>
  <si>
    <t>Маълумоти аниқшуда оид ба хизматрасонии қарзи давлатӣ дар назди Бонки миллии Тоҷикистон ба ҳолати 10 июли соли 2024</t>
  </si>
  <si>
    <t>Маълумоти пешакӣ оид ба хизматрасонии қарзи давлатӣ ба ҳолати 26 июли соли 2024</t>
  </si>
  <si>
    <t>+L4</t>
  </si>
  <si>
    <t xml:space="preserve">Бақияи қарзи дохили ба ҳолати 26.07.2024 с. </t>
  </si>
  <si>
    <t xml:space="preserve">Ҳаҷми қарзи дохилӣ ба ҳолати 31.12.2022 с. </t>
  </si>
  <si>
    <t xml:space="preserve">Ҳаҷми қарзи дохилӣ ба ҳолати 31.12.2023 с. </t>
  </si>
  <si>
    <t xml:space="preserve">Ҳаҷми қарзи дохилӣ ба ҳолати 31.12.2024 с. </t>
  </si>
  <si>
    <t xml:space="preserve">Ҳаҷми қарзи дохилӣ ба ҳолати 31.12.2025 с. </t>
  </si>
  <si>
    <t xml:space="preserve">Ҳаҷми қарзи дохилӣ ба ҳолати 31.12.2026 с. </t>
  </si>
  <si>
    <t>162 хазор</t>
  </si>
  <si>
    <t>Маълумоти аниқшуда оид ба хизматрасонии қарзи давлатӣ дар назди Бонки миллии Тоҷикистон ба ҳолати 04 июли соли 2024</t>
  </si>
  <si>
    <t xml:space="preserve">Бақияи қ/а қарзи дохили ба ҳолати 04.07.2024 с. </t>
  </si>
  <si>
    <t xml:space="preserve">Бақияи қ/а қарзи дохили ба ҳолати 30.09.2024 с. </t>
  </si>
  <si>
    <t>Фарқият байни 31.12.2023 ва 30.09.2024</t>
  </si>
  <si>
    <t>Маълумоти аниқшуда оид ба хизматрасонии қарзи давлатӣ дар назди Бонки миллии Тоҷикистон ба ҳолати 30 сентябри соли 2024</t>
  </si>
  <si>
    <t>накша 367 326,8 сомони дуруст</t>
  </si>
  <si>
    <r>
      <t>(бо млн сомонӣ) </t>
    </r>
    <r>
      <rPr>
        <b/>
        <i/>
        <sz val="12"/>
        <rFont val="Times New Roman Tj"/>
        <family val="1"/>
        <charset val="204"/>
      </rPr>
      <t xml:space="preserve"> </t>
    </r>
  </si>
  <si>
    <r>
      <t>Вомбаргҳои давлатии миёнамуҳлати ВМҶТ (D366</t>
    </r>
    <r>
      <rPr>
        <sz val="12"/>
        <color rgb="FFFF0000"/>
        <rFont val="Times New Roman Tj"/>
        <family val="1"/>
        <charset val="204"/>
      </rPr>
      <t>02</t>
    </r>
    <r>
      <rPr>
        <sz val="12"/>
        <rFont val="Times New Roman Tj"/>
        <family val="1"/>
        <charset val="204"/>
      </rPr>
      <t>0125)</t>
    </r>
  </si>
  <si>
    <r>
      <t>Вомбаргҳои давлатии кутоҳмуҳлати ВМҶТ (D181</t>
    </r>
    <r>
      <rPr>
        <sz val="12"/>
        <color rgb="FFFF0000"/>
        <rFont val="Times New Roman Tj"/>
        <family val="1"/>
        <charset val="204"/>
      </rPr>
      <t>01</t>
    </r>
    <r>
      <rPr>
        <sz val="12"/>
        <rFont val="Times New Roman Tj"/>
        <family val="1"/>
        <charset val="204"/>
      </rPr>
      <t>0724)</t>
    </r>
  </si>
  <si>
    <r>
      <t>Вомбаргҳои давлатии миёнамуҳлати ВМҶТ (D731</t>
    </r>
    <r>
      <rPr>
        <sz val="12"/>
        <color rgb="FFFF0000"/>
        <rFont val="Times New Roman Tj"/>
        <family val="1"/>
        <charset val="204"/>
      </rPr>
      <t>03</t>
    </r>
    <r>
      <rPr>
        <sz val="12"/>
        <rFont val="Times New Roman Tj"/>
        <family val="1"/>
        <charset val="204"/>
      </rPr>
      <t>0126)</t>
    </r>
  </si>
  <si>
    <r>
      <t>Вомбаргҳои давлатии кутоҳмуҳлати ВМҶТ (D181</t>
    </r>
    <r>
      <rPr>
        <sz val="12"/>
        <color rgb="FFFF0000"/>
        <rFont val="Times New Roman Tj"/>
        <family val="1"/>
        <charset val="204"/>
      </rPr>
      <t>04</t>
    </r>
    <r>
      <rPr>
        <sz val="12"/>
        <rFont val="Times New Roman Tj"/>
        <family val="1"/>
        <charset val="204"/>
      </rPr>
      <t>0924)</t>
    </r>
  </si>
  <si>
    <r>
      <t>Вомбаргҳои давлатии кутоҳмуҳлати ВМҶТ (D181</t>
    </r>
    <r>
      <rPr>
        <sz val="12"/>
        <color rgb="FFFF0000"/>
        <rFont val="Times New Roman Tj"/>
        <family val="1"/>
        <charset val="204"/>
      </rPr>
      <t>05</t>
    </r>
    <r>
      <rPr>
        <sz val="12"/>
        <rFont val="Times New Roman Tj"/>
        <family val="1"/>
        <charset val="204"/>
      </rPr>
      <t>1024)</t>
    </r>
  </si>
  <si>
    <r>
      <t>Вомбаргҳои давлатии кутоҳмуҳлати ВМҶТ (D181</t>
    </r>
    <r>
      <rPr>
        <sz val="12"/>
        <color rgb="FFFF0000"/>
        <rFont val="Times New Roman Tj"/>
        <family val="1"/>
        <charset val="204"/>
      </rPr>
      <t>06</t>
    </r>
    <r>
      <rPr>
        <sz val="12"/>
        <rFont val="Times New Roman Tj"/>
        <family val="1"/>
        <charset val="204"/>
      </rPr>
      <t>1124)</t>
    </r>
  </si>
  <si>
    <r>
      <t>Вомбаргҳои давлатии кутоҳмуҳлати ВМҶТ (D181</t>
    </r>
    <r>
      <rPr>
        <sz val="12"/>
        <color rgb="FFFF0000"/>
        <rFont val="Times New Roman Tj"/>
        <family val="1"/>
        <charset val="204"/>
      </rPr>
      <t>07</t>
    </r>
    <r>
      <rPr>
        <sz val="12"/>
        <rFont val="Times New Roman Tj"/>
        <family val="1"/>
        <charset val="204"/>
      </rPr>
      <t>1224)</t>
    </r>
  </si>
  <si>
    <r>
      <t>Вомбаргҳои давлатии кутоҳмуҳлати ВМҶТ (D181</t>
    </r>
    <r>
      <rPr>
        <sz val="12"/>
        <color rgb="FFFF0000"/>
        <rFont val="Times New Roman Tj"/>
        <family val="1"/>
        <charset val="204"/>
      </rPr>
      <t>08</t>
    </r>
    <r>
      <rPr>
        <sz val="12"/>
        <rFont val="Times New Roman Tj"/>
        <family val="1"/>
        <charset val="204"/>
      </rPr>
      <t>0125)</t>
    </r>
  </si>
  <si>
    <r>
      <t>Вомбаргҳои давлатии миёнамуҳлати ВМҶТ (D730</t>
    </r>
    <r>
      <rPr>
        <sz val="12"/>
        <color rgb="FFFF0000"/>
        <rFont val="Times New Roman Tj"/>
        <family val="1"/>
        <charset val="204"/>
      </rPr>
      <t>09</t>
    </r>
    <r>
      <rPr>
        <sz val="12"/>
        <rFont val="Times New Roman Tj"/>
        <family val="1"/>
        <charset val="204"/>
      </rPr>
      <t>0826)</t>
    </r>
  </si>
  <si>
    <t>730 рӯз</t>
  </si>
  <si>
    <r>
      <t>Вомбаргҳои давлатии кутоҳмуҳлати ВМҶТ (D181</t>
    </r>
    <r>
      <rPr>
        <sz val="12"/>
        <color rgb="FFFF0000"/>
        <rFont val="Times New Roman Tj"/>
        <family val="1"/>
        <charset val="204"/>
      </rPr>
      <t>10</t>
    </r>
    <r>
      <rPr>
        <sz val="12"/>
        <rFont val="Times New Roman Tj"/>
        <family val="1"/>
        <charset val="204"/>
      </rPr>
      <t>0325)</t>
    </r>
  </si>
  <si>
    <t>боқимондаи 2023с (формулаи 360-365) розӣ шуданд</t>
  </si>
  <si>
    <t>Бақияи уҳдадорӣ то 31.12.2024</t>
  </si>
  <si>
    <t xml:space="preserve">Ҳамагӣ </t>
  </si>
  <si>
    <t>Қарзи дохила бо ҳазор доллари ИМА - 30.09.2024</t>
  </si>
  <si>
    <t>Маълумоти аниқшуда оид ба хизматрасонии қарзи дохилӣ ба ҳолати 30 сентябри соли 2024</t>
  </si>
  <si>
    <t>дисконт 6,5%</t>
  </si>
  <si>
    <t>дисконт 7%</t>
  </si>
  <si>
    <t>дисконт 7,5%</t>
  </si>
  <si>
    <t xml:space="preserve">nbt курси $ </t>
  </si>
  <si>
    <t>109 рӯз</t>
  </si>
  <si>
    <t>84 рӯз</t>
  </si>
  <si>
    <t>дисконт 3,32%</t>
  </si>
  <si>
    <t>дисконт 4,56%</t>
  </si>
  <si>
    <t>дисконт 6,8%</t>
  </si>
  <si>
    <t>0</t>
  </si>
  <si>
    <t>купон 12%</t>
  </si>
  <si>
    <t>Прогноз барои МВФ Маълумоти аниқшуда оид ба хизматрасонии қарзи давлатӣ дар назди Бонки миллӣ ба ҳолати 31 декабри соли 2024</t>
  </si>
  <si>
    <t xml:space="preserve">Бақияи қ/а қарзи дохилӣ ба ҳолати 31.12.2024 с. </t>
  </si>
  <si>
    <t xml:space="preserve">дисконт </t>
  </si>
  <si>
    <t>дисконт</t>
  </si>
  <si>
    <t>Вомбаргҳои давлатии кутоҳмуҳлат ва миёнамуҳати ВМҶТ</t>
  </si>
  <si>
    <t>Тақвими барориш барои соли молиявӣ</t>
  </si>
  <si>
    <t>125 рӯз</t>
  </si>
  <si>
    <t>Маълумоти аниқшуда оид ба хизматрасонии қарзи дохилӣ ба ҳолати 25 ноябри соли 2024</t>
  </si>
  <si>
    <t xml:space="preserve">Бақияи қарзи дохилӣ ба ҳолати 25.11.2024 с. </t>
  </si>
  <si>
    <t xml:space="preserve">Бақияи қ/а қарзи дохилӣ ба ҳолати 31.12.2023 с. </t>
  </si>
  <si>
    <t xml:space="preserve">Бақияи қ/а қарзи дохилӣ ба ҳолати 25.11.2024 с. </t>
  </si>
  <si>
    <t>Бақияи қ/а қарзи дохилӣ дар 2025</t>
  </si>
  <si>
    <t>Бақияи қ/а қарзи дохилӣ дар 2026</t>
  </si>
  <si>
    <t>Бақияи қ/а қарзи дохилӣ дар 2027</t>
  </si>
  <si>
    <t>Бақияи қарзи дохилӣ дар 2025</t>
  </si>
  <si>
    <t>Бақияи қарзи дохилӣ дар 2026</t>
  </si>
  <si>
    <t>Бақияи қарзи дохилӣ дар 2027</t>
  </si>
  <si>
    <t>соли 2024</t>
  </si>
  <si>
    <t>Маълумоти аниқшуда оид ба хизматрасонии қарзи давлатӣ дар назди Бонки миллӣ кроме кредита ба ҳолати 11 декабри соли 2024</t>
  </si>
  <si>
    <t xml:space="preserve">Бақияи қ/а қарзи дохилӣ ба ҳолати 11.12.2024 с. </t>
  </si>
  <si>
    <t>намерасад</t>
  </si>
  <si>
    <t xml:space="preserve">Бақияи фоиз ба ҳолати 30.09.2024 </t>
  </si>
  <si>
    <t>Векселњои хазинадории Вазорати молия барои пӯшонидани касри буҷет</t>
  </si>
  <si>
    <t>Ҳамагӣ вомбаргҳои давлатӣ бо назардошти векелҳои хазинадорӣ</t>
  </si>
  <si>
    <t>Ҳамагӣ уҳдадориҳо дар назди Бонки миллии Тоҷикистон</t>
  </si>
  <si>
    <t xml:space="preserve">Бақияи қарзи дохилӣ ба ҳолати 31.12.2024 с. </t>
  </si>
  <si>
    <t>Прогноз барои МВФ Маълумоти аниқшуда оид ба хизматрасонии қарзи давлатӣ дар назди Бонки миллӣ ба ҳолати 26 декабри соли 2024</t>
  </si>
  <si>
    <t xml:space="preserve">Бақияи қ/а қарзи дохилӣ ба ҳолати 26.12.2024 с. </t>
  </si>
  <si>
    <t>Прогноз барои МВФ Маълумоти аниқшуда оид ба хизматрасонии қарзи давлатӣ дар назди Бонки миллӣ ба ҳолати 30 декабри соли 2024</t>
  </si>
  <si>
    <t xml:space="preserve">Бақияи қ/а қарзи дохилӣ ба ҳолати 30.12.2024 с. </t>
  </si>
  <si>
    <t>Арзиши номиналии Вомбаргҳои давлатӣ дар муомилот</t>
  </si>
  <si>
    <t>Вомбаргҳои ба муомилот бароварш/д (МЛН)</t>
  </si>
  <si>
    <t>Бақияи қ/а-и қарзи дохилӣ ба ҳолати 31.12.2024</t>
  </si>
  <si>
    <t>Фарқият байни 31.12.2023 ва 31.12.2024</t>
  </si>
  <si>
    <t>Қарзи дохилӣ нисбат ба ММД %</t>
  </si>
  <si>
    <t>Қарзи дохилӣ бо ҳазор доллари ИМА - 31.12.2024</t>
  </si>
  <si>
    <t xml:space="preserve"> Маълумоти аниқшуда оид ба бақияи қарзи дохилии давлатии Ҷумҳурии Тоҷикистон ба ҳолати 31.12.2022 сол                                                           </t>
  </si>
  <si>
    <t>Бақияи қарзи дохила ба ҳолати 31.12.2022</t>
  </si>
  <si>
    <t xml:space="preserve">Фарқият </t>
  </si>
  <si>
    <t>Вексели давлатии Вазорати молияи Љумњурии Тољикистон барои хољагињои пахтакор</t>
  </si>
  <si>
    <t>2018 сол</t>
  </si>
  <si>
    <t>Вексели  давлатии Вазорати молия барои ҶСК НБО "Роғун"</t>
  </si>
  <si>
    <t>Қарзе, ки аз Бонки миллӣ ҷалб гардидааст. (1,0 млрд. сом барои ҶСК НБО "Роғун")</t>
  </si>
  <si>
    <t>Вомбарги дохилию давлатии бурдноки Вазорати молияи Љумњурии Тољикистон (БДА ҶТ "Амонатбонк")</t>
  </si>
  <si>
    <t>2017 сол</t>
  </si>
  <si>
    <t>то 2024</t>
  </si>
  <si>
    <t>Вомбаргҳои давлатии кутоҳмуҳлати ВМҶТ (D181010724)</t>
  </si>
  <si>
    <t>Вомбаргҳои давлатии миёнамуҳлати ВМҶТ (D366020125)</t>
  </si>
  <si>
    <t>Вомбаргҳои давлатии миёнамуҳлати ВМҶТ (D731030126)</t>
  </si>
  <si>
    <t>Вомбаргҳои давлатии кутоҳмуҳлати ВМҶТ (D181040924)</t>
  </si>
  <si>
    <t>Вомбаргҳои давлатии кутоҳмуҳлати ВМҶТ (D181051024)</t>
  </si>
  <si>
    <t>Вомбаргҳои давлатии кутоҳмуҳлати ВМҶТ (D181061124)</t>
  </si>
  <si>
    <t>Вомбаргҳои давлатии кутоҳмуҳлати ВМҶТ (D181071224)</t>
  </si>
  <si>
    <t>Вомбаргҳои давлатии кутоҳмуҳлати ВМҶТ (D181080125)</t>
  </si>
  <si>
    <t>Вомбаргҳои давлатии миёнамуҳлати ВМҶТ (D730090826)</t>
  </si>
  <si>
    <t>Вомбаргҳои давлатии кутоҳмуҳлати ВМҶТ (D181100325)</t>
  </si>
  <si>
    <t>Вомбаргҳои давлатии кутоҳмуҳлати ВМҶТ (D181110425)</t>
  </si>
  <si>
    <t>Вомбаргҳои давлатии кутоҳмуҳлати ВМҶТ (D181121125)</t>
  </si>
  <si>
    <t>Вомбаргҳои давлатии кутоҳмуҳлати ВМҶТ (D181130625)</t>
  </si>
  <si>
    <r>
      <t>(бо ҳазор сомонӣ) </t>
    </r>
    <r>
      <rPr>
        <i/>
        <sz val="12"/>
        <rFont val="Times New Roman Tj"/>
        <family val="1"/>
        <charset val="204"/>
      </rPr>
      <t xml:space="preserve"> </t>
    </r>
  </si>
  <si>
    <t>13. Маълумоти аниқшуда оид ба хизматрасонии қарзи дохилӣ ба ҳолати 31 декабри соли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</si>
</sst>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\ _₽_-;\-* #,##0\ _₽_-;_-* &quot;-&quot;??\ _₽_-;_-@_-"/>
    <numFmt numFmtId="167" formatCode="_-* #,##0.0\ _₽_-;\-* #,##0.0\ _₽_-;_-* &quot;-&quot;??\ _₽_-;_-@_-"/>
    <numFmt numFmtId="168" formatCode="_-* #,##0_р_._-;\-* #,##0_р_._-;_-* &quot;-&quot;??_р_._-;_-@_-"/>
    <numFmt numFmtId="169" formatCode="_-* #,##0.0000\ _₽_-;\-* #,##0.0000\ _₽_-;_-* &quot;-&quot;??\ _₽_-;_-@_-"/>
    <numFmt numFmtId="170" formatCode="#,##0_р_."/>
    <numFmt numFmtId="171" formatCode="dd/mm/yy;@"/>
    <numFmt numFmtId="172" formatCode="#,##0.00_р_."/>
    <numFmt numFmtId="173" formatCode="0.0%"/>
    <numFmt numFmtId="174" formatCode="_-* #,##0.0\ _₽_-;\-* #,##0.0\ _₽_-;_-* &quot;-&quot;?\ _₽_-;_-@_-"/>
    <numFmt numFmtId="175" formatCode="_-* #,##0.00\ _₽_-;\-* #,##0.00\ _₽_-;_-* &quot;-&quot;?\ _₽_-;_-@_-"/>
    <numFmt numFmtId="176" formatCode="_-* #,##0.000000\ _₽_-;\-* #,##0.000000\ _₽_-;_-* &quot;-&quot;??\ _₽_-;_-@_-"/>
    <numFmt numFmtId="177" formatCode="_-* #,##0_-;\-* #,##0_-;_-* &quot;-&quot;??_-;_-@_-"/>
    <numFmt numFmtId="178" formatCode="_-* #,##0\ _₽_-;\-* #,##0\ _₽_-;_-* &quot;-&quot;?\ _₽_-;_-@_-"/>
    <numFmt numFmtId="179" formatCode="_-* #,##0.000\ _₽_-;\-* #,##0.000\ _₽_-;_-* &quot;-&quot;??\ _₽_-;_-@_-"/>
    <numFmt numFmtId="181" formatCode="0.0000"/>
    <numFmt numFmtId="182" formatCode="_-* #,##0.0000\ _₽_-;\-* #,##0.0000\ _₽_-;_-* &quot;-&quot;????\ _₽_-;_-@_-"/>
  </numFmts>
  <fonts count="8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 Tj"/>
      <family val="1"/>
      <charset val="204"/>
    </font>
    <font>
      <sz val="11"/>
      <color theme="1"/>
      <name val="Times New Roman Tj"/>
      <family val="1"/>
      <charset val="204"/>
    </font>
    <font>
      <b/>
      <sz val="14"/>
      <color theme="1"/>
      <name val="Times New Roman Tj"/>
      <family val="1"/>
      <charset val="204"/>
    </font>
    <font>
      <b/>
      <i/>
      <sz val="16"/>
      <color theme="1"/>
      <name val="Times New Roman Tj"/>
      <family val="1"/>
      <charset val="204"/>
    </font>
    <font>
      <sz val="14"/>
      <color theme="1"/>
      <name val="Times New Roman Tj"/>
      <family val="1"/>
      <charset val="204"/>
    </font>
    <font>
      <sz val="10"/>
      <color indexed="8"/>
      <name val="Arial Cyr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8"/>
      <color theme="1"/>
      <name val="Times New Roman Tj"/>
      <family val="1"/>
      <charset val="204"/>
    </font>
    <font>
      <b/>
      <sz val="18"/>
      <color theme="1"/>
      <name val="Times New Roman Tj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 Tj"/>
      <family val="1"/>
      <charset val="204"/>
    </font>
    <font>
      <b/>
      <i/>
      <sz val="14"/>
      <color theme="1"/>
      <name val="Times New Roman Tj"/>
      <family val="1"/>
      <charset val="204"/>
    </font>
    <font>
      <b/>
      <i/>
      <sz val="14"/>
      <color rgb="FFFF0000"/>
      <name val="Times New Roman Tj"/>
      <family val="1"/>
      <charset val="204"/>
    </font>
    <font>
      <i/>
      <sz val="12"/>
      <color theme="1"/>
      <name val="Times New Roman Tj"/>
      <family val="1"/>
      <charset val="204"/>
    </font>
    <font>
      <i/>
      <sz val="14"/>
      <color theme="1"/>
      <name val="Times New Roman Tj"/>
      <family val="1"/>
      <charset val="204"/>
    </font>
    <font>
      <i/>
      <sz val="14"/>
      <color rgb="FFFF0000"/>
      <name val="Times New Roman Tj"/>
      <family val="1"/>
      <charset val="204"/>
    </font>
    <font>
      <b/>
      <sz val="14"/>
      <color rgb="FFFF0000"/>
      <name val="Times New Roman Tj"/>
      <family val="1"/>
      <charset val="204"/>
    </font>
    <font>
      <b/>
      <sz val="18"/>
      <name val="Palatino Linotype"/>
      <family val="1"/>
      <charset val="204"/>
    </font>
    <font>
      <sz val="14"/>
      <name val="Palatino Linotype"/>
      <family val="1"/>
      <charset val="204"/>
    </font>
    <font>
      <sz val="14"/>
      <color theme="1"/>
      <name val="Palatino Linotype"/>
      <family val="1"/>
      <charset val="204"/>
    </font>
    <font>
      <b/>
      <sz val="14"/>
      <name val="Palatino Linotype"/>
      <family val="1"/>
      <charset val="204"/>
    </font>
    <font>
      <b/>
      <i/>
      <sz val="14"/>
      <name val="Palatino Linotype"/>
      <family val="1"/>
      <charset val="204"/>
    </font>
    <font>
      <i/>
      <sz val="14"/>
      <color theme="1"/>
      <name val="Palatino Linotype"/>
      <family val="1"/>
      <charset val="204"/>
    </font>
    <font>
      <b/>
      <i/>
      <sz val="20"/>
      <name val="Palatino Linotype"/>
      <family val="1"/>
      <charset val="204"/>
    </font>
    <font>
      <b/>
      <sz val="20"/>
      <name val="Palatino Linotype"/>
      <family val="1"/>
      <charset val="204"/>
    </font>
    <font>
      <sz val="14"/>
      <name val="Times New Roman Tj"/>
      <family val="1"/>
      <charset val="204"/>
    </font>
    <font>
      <b/>
      <sz val="12"/>
      <name val="Times New Roman Tj"/>
      <family val="1"/>
      <charset val="204"/>
    </font>
    <font>
      <sz val="12"/>
      <name val="Times New Roman Tj"/>
      <family val="1"/>
      <charset val="204"/>
    </font>
    <font>
      <i/>
      <sz val="14"/>
      <name val="Times New Roman Tj"/>
      <family val="1"/>
      <charset val="204"/>
    </font>
    <font>
      <b/>
      <sz val="14"/>
      <name val="Times New Roman Tj"/>
      <family val="1"/>
      <charset val="204"/>
    </font>
    <font>
      <b/>
      <i/>
      <sz val="14"/>
      <name val="Times New Roman Tj"/>
      <family val="1"/>
      <charset val="204"/>
    </font>
    <font>
      <sz val="11"/>
      <name val="Times New Roman Tj"/>
      <family val="1"/>
      <charset val="204"/>
    </font>
    <font>
      <b/>
      <sz val="16"/>
      <name val="Times New Roman Tj"/>
      <family val="1"/>
      <charset val="204"/>
    </font>
    <font>
      <b/>
      <sz val="24"/>
      <name val="Times New Roman Tj"/>
      <family val="1"/>
      <charset val="204"/>
    </font>
    <font>
      <b/>
      <i/>
      <sz val="12"/>
      <name val="Times New Roman Tj"/>
      <family val="1"/>
      <charset val="204"/>
    </font>
    <font>
      <sz val="16"/>
      <name val="Times New Roman Tj"/>
      <family val="1"/>
      <charset val="204"/>
    </font>
    <font>
      <sz val="13"/>
      <color theme="1"/>
      <name val="Times New Roman Tj"/>
      <family val="1"/>
      <charset val="204"/>
    </font>
    <font>
      <b/>
      <sz val="13"/>
      <color theme="1"/>
      <name val="Times New Roman Tj"/>
      <family val="1"/>
      <charset val="204"/>
    </font>
    <font>
      <sz val="8"/>
      <name val="Calibri"/>
      <family val="2"/>
      <charset val="204"/>
      <scheme val="minor"/>
    </font>
    <font>
      <b/>
      <sz val="26"/>
      <name val="Times New Roman Tj"/>
      <family val="1"/>
      <charset val="204"/>
    </font>
    <font>
      <b/>
      <sz val="11"/>
      <color theme="1"/>
      <name val="Times New Roman Tj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 Tj"/>
      <family val="1"/>
      <charset val="204"/>
    </font>
    <font>
      <b/>
      <sz val="16"/>
      <color rgb="FFFF0000"/>
      <name val="Times New Roman Tj"/>
      <family val="1"/>
      <charset val="204"/>
    </font>
    <font>
      <sz val="16"/>
      <color rgb="FFFF0000"/>
      <name val="Times New Roman Tj"/>
      <family val="1"/>
      <charset val="204"/>
    </font>
    <font>
      <b/>
      <i/>
      <sz val="16"/>
      <name val="Times New Roman Tj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rgb="FFFF0000"/>
      <name val="Times New Roman Tj"/>
      <family val="1"/>
      <charset val="204"/>
    </font>
    <font>
      <b/>
      <sz val="12"/>
      <color rgb="FF000000"/>
      <name val="Times New Roman Tj"/>
      <family val="1"/>
      <charset val="204"/>
    </font>
    <font>
      <b/>
      <sz val="22"/>
      <name val="Times New Roman Tj"/>
      <family val="1"/>
      <charset val="204"/>
    </font>
    <font>
      <sz val="12"/>
      <color theme="1"/>
      <name val="Times New Roman Tj"/>
      <family val="1"/>
      <charset val="204"/>
    </font>
    <font>
      <b/>
      <sz val="18"/>
      <color rgb="FF7030A0"/>
      <name val="Times New Roman Tj"/>
      <family val="1"/>
      <charset val="204"/>
    </font>
    <font>
      <b/>
      <i/>
      <sz val="14"/>
      <color rgb="FF7030A0"/>
      <name val="Times New Roman Tj"/>
      <family val="1"/>
      <charset val="204"/>
    </font>
    <font>
      <b/>
      <sz val="14"/>
      <color rgb="FF7030A0"/>
      <name val="Times New Roman Tj"/>
      <family val="1"/>
      <charset val="204"/>
    </font>
    <font>
      <b/>
      <sz val="16"/>
      <color rgb="FF7030A0"/>
      <name val="Times New Roman Tj"/>
      <family val="1"/>
      <charset val="204"/>
    </font>
    <font>
      <sz val="14"/>
      <color rgb="FF7030A0"/>
      <name val="Times New Roman Tj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2"/>
      <color theme="1"/>
      <name val="Times New Roman Tj"/>
      <family val="1"/>
      <charset val="204"/>
    </font>
    <font>
      <sz val="10"/>
      <name val="Times New Roman Tj"/>
      <family val="1"/>
      <charset val="204"/>
    </font>
    <font>
      <sz val="12"/>
      <color rgb="FFFF0000"/>
      <name val="Times New Roman Tj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name val="Times New Roman Tj"/>
      <family val="1"/>
      <charset val="204"/>
    </font>
    <font>
      <b/>
      <sz val="28"/>
      <name val="Times New Roman Tj"/>
      <family val="1"/>
      <charset val="204"/>
    </font>
    <font>
      <sz val="24"/>
      <color theme="1"/>
      <name val="Times New Roman Tj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1"/>
      <color rgb="FF000000"/>
      <name val="Times New Roman Tj"/>
      <family val="1"/>
      <charset val="204"/>
    </font>
    <font>
      <sz val="12"/>
      <color rgb="FF0070C0"/>
      <name val="Times New Roman Tj"/>
      <family val="1"/>
      <charset val="204"/>
    </font>
    <font>
      <sz val="16"/>
      <color theme="1"/>
      <name val="Times New Roman Tj"/>
      <family val="1"/>
      <charset val="204"/>
    </font>
    <font>
      <sz val="20"/>
      <color rgb="FFFF0000"/>
      <name val="Calibri"/>
      <family val="2"/>
      <charset val="204"/>
      <scheme val="minor"/>
    </font>
    <font>
      <b/>
      <sz val="18"/>
      <name val="Times New Roman Tj"/>
      <family val="1"/>
      <charset val="204"/>
    </font>
    <font>
      <sz val="13"/>
      <color rgb="FFFF0000"/>
      <name val="Times New Roman Tj"/>
      <family val="1"/>
      <charset val="204"/>
    </font>
    <font>
      <i/>
      <sz val="14"/>
      <name val="Palatino Linotype"/>
      <family val="1"/>
      <charset val="204"/>
    </font>
    <font>
      <b/>
      <sz val="22"/>
      <color rgb="FFFF0000"/>
      <name val="Times New Roman Tj"/>
      <family val="1"/>
      <charset val="204"/>
    </font>
    <font>
      <b/>
      <i/>
      <sz val="16"/>
      <name val="Palatino Linotype"/>
      <family val="1"/>
      <charset val="204"/>
    </font>
    <font>
      <b/>
      <sz val="28"/>
      <color theme="1"/>
      <name val="Times New Roman Tj"/>
      <family val="1"/>
      <charset val="204"/>
    </font>
    <font>
      <sz val="11"/>
      <name val="Calibri"/>
      <family val="2"/>
      <charset val="204"/>
      <scheme val="minor"/>
    </font>
    <font>
      <sz val="18"/>
      <name val="Times New Roman Tj"/>
      <family val="1"/>
      <charset val="204"/>
    </font>
    <font>
      <i/>
      <sz val="12"/>
      <name val="Times New Roman Tj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98">
    <xf numFmtId="0" fontId="0" fillId="0" borderId="0" xfId="0"/>
    <xf numFmtId="10" fontId="2" fillId="0" borderId="0" xfId="2" applyNumberFormat="1" applyFont="1" applyAlignment="1"/>
    <xf numFmtId="0" fontId="3" fillId="0" borderId="0" xfId="0" applyFont="1"/>
    <xf numFmtId="0" fontId="3" fillId="0" borderId="0" xfId="0" applyFont="1" applyAlignment="1">
      <alignment horizontal="left" readingOrder="1"/>
    </xf>
    <xf numFmtId="0" fontId="2" fillId="0" borderId="0" xfId="0" applyFont="1"/>
    <xf numFmtId="164" fontId="2" fillId="0" borderId="0" xfId="1" applyFont="1" applyAlignment="1"/>
    <xf numFmtId="164" fontId="5" fillId="0" borderId="0" xfId="1" applyFont="1" applyBorder="1" applyAlignment="1">
      <alignment vertical="center" readingOrder="1"/>
    </xf>
    <xf numFmtId="164" fontId="2" fillId="0" borderId="0" xfId="1" applyFont="1" applyAlignment="1">
      <alignment horizontal="left"/>
    </xf>
    <xf numFmtId="0" fontId="10" fillId="0" borderId="0" xfId="0" applyFont="1"/>
    <xf numFmtId="16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0" fontId="1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/>
    <xf numFmtId="164" fontId="0" fillId="0" borderId="0" xfId="1" applyFont="1"/>
    <xf numFmtId="0" fontId="2" fillId="0" borderId="0" xfId="0" applyFont="1" applyAlignment="1">
      <alignment horizontal="left"/>
    </xf>
    <xf numFmtId="0" fontId="22" fillId="0" borderId="0" xfId="0" applyFont="1"/>
    <xf numFmtId="0" fontId="23" fillId="2" borderId="0" xfId="4" applyFont="1" applyFill="1" applyAlignment="1">
      <alignment horizontal="center" wrapText="1"/>
    </xf>
    <xf numFmtId="172" fontId="23" fillId="2" borderId="1" xfId="4" applyNumberFormat="1" applyFont="1" applyFill="1" applyBorder="1" applyAlignment="1">
      <alignment horizontal="center" vertical="center" wrapText="1"/>
    </xf>
    <xf numFmtId="0" fontId="21" fillId="2" borderId="34" xfId="4" applyFont="1" applyFill="1" applyBorder="1" applyAlignment="1">
      <alignment horizontal="center"/>
    </xf>
    <xf numFmtId="170" fontId="21" fillId="2" borderId="35" xfId="4" applyNumberFormat="1" applyFont="1" applyFill="1" applyBorder="1"/>
    <xf numFmtId="10" fontId="21" fillId="2" borderId="34" xfId="5" applyNumberFormat="1" applyFont="1" applyFill="1" applyBorder="1" applyAlignment="1">
      <alignment horizontal="center"/>
    </xf>
    <xf numFmtId="171" fontId="21" fillId="2" borderId="35" xfId="4" applyNumberFormat="1" applyFont="1" applyFill="1" applyBorder="1" applyAlignment="1">
      <alignment horizontal="center"/>
    </xf>
    <xf numFmtId="171" fontId="21" fillId="2" borderId="34" xfId="4" applyNumberFormat="1" applyFont="1" applyFill="1" applyBorder="1" applyAlignment="1">
      <alignment horizontal="center"/>
    </xf>
    <xf numFmtId="172" fontId="21" fillId="2" borderId="35" xfId="4" applyNumberFormat="1" applyFont="1" applyFill="1" applyBorder="1"/>
    <xf numFmtId="172" fontId="21" fillId="2" borderId="36" xfId="4" applyNumberFormat="1" applyFont="1" applyFill="1" applyBorder="1"/>
    <xf numFmtId="172" fontId="21" fillId="2" borderId="34" xfId="4" applyNumberFormat="1" applyFont="1" applyFill="1" applyBorder="1"/>
    <xf numFmtId="172" fontId="21" fillId="2" borderId="37" xfId="4" applyNumberFormat="1" applyFont="1" applyFill="1" applyBorder="1"/>
    <xf numFmtId="0" fontId="21" fillId="2" borderId="38" xfId="4" applyFont="1" applyFill="1" applyBorder="1" applyAlignment="1">
      <alignment horizontal="center"/>
    </xf>
    <xf numFmtId="170" fontId="21" fillId="2" borderId="39" xfId="4" applyNumberFormat="1" applyFont="1" applyFill="1" applyBorder="1"/>
    <xf numFmtId="10" fontId="21" fillId="2" borderId="38" xfId="5" applyNumberFormat="1" applyFont="1" applyFill="1" applyBorder="1" applyAlignment="1">
      <alignment horizontal="center"/>
    </xf>
    <xf numFmtId="171" fontId="21" fillId="2" borderId="39" xfId="4" applyNumberFormat="1" applyFont="1" applyFill="1" applyBorder="1" applyAlignment="1">
      <alignment horizontal="center"/>
    </xf>
    <xf numFmtId="171" fontId="21" fillId="2" borderId="38" xfId="4" applyNumberFormat="1" applyFont="1" applyFill="1" applyBorder="1" applyAlignment="1">
      <alignment horizontal="center"/>
    </xf>
    <xf numFmtId="172" fontId="21" fillId="2" borderId="39" xfId="4" applyNumberFormat="1" applyFont="1" applyFill="1" applyBorder="1"/>
    <xf numFmtId="172" fontId="21" fillId="2" borderId="40" xfId="4" applyNumberFormat="1" applyFont="1" applyFill="1" applyBorder="1"/>
    <xf numFmtId="172" fontId="21" fillId="2" borderId="38" xfId="4" applyNumberFormat="1" applyFont="1" applyFill="1" applyBorder="1"/>
    <xf numFmtId="172" fontId="21" fillId="2" borderId="41" xfId="4" applyNumberFormat="1" applyFont="1" applyFill="1" applyBorder="1"/>
    <xf numFmtId="0" fontId="21" fillId="2" borderId="42" xfId="4" applyFont="1" applyFill="1" applyBorder="1" applyAlignment="1">
      <alignment horizontal="center"/>
    </xf>
    <xf numFmtId="170" fontId="21" fillId="2" borderId="43" xfId="4" applyNumberFormat="1" applyFont="1" applyFill="1" applyBorder="1"/>
    <xf numFmtId="10" fontId="21" fillId="2" borderId="42" xfId="5" applyNumberFormat="1" applyFont="1" applyFill="1" applyBorder="1" applyAlignment="1">
      <alignment horizontal="center"/>
    </xf>
    <xf numFmtId="171" fontId="21" fillId="2" borderId="43" xfId="4" applyNumberFormat="1" applyFont="1" applyFill="1" applyBorder="1" applyAlignment="1">
      <alignment horizontal="center"/>
    </xf>
    <xf numFmtId="171" fontId="21" fillId="2" borderId="42" xfId="4" applyNumberFormat="1" applyFont="1" applyFill="1" applyBorder="1" applyAlignment="1">
      <alignment horizontal="center"/>
    </xf>
    <xf numFmtId="0" fontId="21" fillId="2" borderId="44" xfId="4" applyFont="1" applyFill="1" applyBorder="1" applyAlignment="1">
      <alignment horizontal="center"/>
    </xf>
    <xf numFmtId="172" fontId="21" fillId="2" borderId="43" xfId="4" applyNumberFormat="1" applyFont="1" applyFill="1" applyBorder="1"/>
    <xf numFmtId="172" fontId="21" fillId="2" borderId="45" xfId="4" applyNumberFormat="1" applyFont="1" applyFill="1" applyBorder="1"/>
    <xf numFmtId="172" fontId="21" fillId="2" borderId="44" xfId="4" applyNumberFormat="1" applyFont="1" applyFill="1" applyBorder="1"/>
    <xf numFmtId="172" fontId="21" fillId="2" borderId="46" xfId="4" applyNumberFormat="1" applyFont="1" applyFill="1" applyBorder="1"/>
    <xf numFmtId="0" fontId="24" fillId="2" borderId="1" xfId="4" applyFont="1" applyFill="1" applyBorder="1" applyAlignment="1">
      <alignment horizontal="center"/>
    </xf>
    <xf numFmtId="0" fontId="25" fillId="0" borderId="0" xfId="0" applyFont="1"/>
    <xf numFmtId="10" fontId="21" fillId="2" borderId="1" xfId="5" applyNumberFormat="1" applyFont="1" applyFill="1" applyBorder="1" applyAlignment="1">
      <alignment horizontal="center"/>
    </xf>
    <xf numFmtId="171" fontId="21" fillId="2" borderId="0" xfId="4" applyNumberFormat="1" applyFont="1" applyFill="1" applyAlignment="1">
      <alignment horizontal="center"/>
    </xf>
    <xf numFmtId="172" fontId="21" fillId="2" borderId="19" xfId="4" applyNumberFormat="1" applyFont="1" applyFill="1" applyBorder="1"/>
    <xf numFmtId="10" fontId="21" fillId="2" borderId="16" xfId="5" applyNumberFormat="1" applyFont="1" applyFill="1" applyBorder="1" applyAlignment="1">
      <alignment horizontal="center"/>
    </xf>
    <xf numFmtId="171" fontId="21" fillId="2" borderId="1" xfId="4" applyNumberFormat="1" applyFont="1" applyFill="1" applyBorder="1" applyAlignment="1">
      <alignment horizontal="center"/>
    </xf>
    <xf numFmtId="171" fontId="21" fillId="2" borderId="23" xfId="4" applyNumberFormat="1" applyFont="1" applyFill="1" applyBorder="1" applyAlignment="1">
      <alignment horizontal="center"/>
    </xf>
    <xf numFmtId="172" fontId="21" fillId="2" borderId="1" xfId="4" applyNumberFormat="1" applyFont="1" applyFill="1" applyBorder="1"/>
    <xf numFmtId="172" fontId="21" fillId="2" borderId="10" xfId="4" applyNumberFormat="1" applyFont="1" applyFill="1" applyBorder="1" applyAlignment="1">
      <alignment horizontal="right" vertical="center"/>
    </xf>
    <xf numFmtId="172" fontId="21" fillId="2" borderId="10" xfId="4" applyNumberFormat="1" applyFont="1" applyFill="1" applyBorder="1"/>
    <xf numFmtId="0" fontId="24" fillId="2" borderId="26" xfId="4" applyFont="1" applyFill="1" applyBorder="1" applyAlignment="1">
      <alignment horizontal="center"/>
    </xf>
    <xf numFmtId="166" fontId="21" fillId="2" borderId="1" xfId="1" applyNumberFormat="1" applyFont="1" applyFill="1" applyBorder="1" applyAlignment="1">
      <alignment horizontal="center" vertical="center"/>
    </xf>
    <xf numFmtId="0" fontId="24" fillId="2" borderId="2" xfId="4" applyFont="1" applyFill="1" applyBorder="1" applyAlignment="1">
      <alignment horizontal="center"/>
    </xf>
    <xf numFmtId="171" fontId="21" fillId="2" borderId="7" xfId="4" applyNumberFormat="1" applyFont="1" applyFill="1" applyBorder="1" applyAlignment="1">
      <alignment horizontal="center"/>
    </xf>
    <xf numFmtId="171" fontId="21" fillId="2" borderId="26" xfId="4" applyNumberFormat="1" applyFont="1" applyFill="1" applyBorder="1" applyAlignment="1">
      <alignment horizontal="center"/>
    </xf>
    <xf numFmtId="10" fontId="21" fillId="2" borderId="10" xfId="5" applyNumberFormat="1" applyFont="1" applyFill="1" applyBorder="1" applyAlignment="1">
      <alignment horizontal="center"/>
    </xf>
    <xf numFmtId="172" fontId="21" fillId="2" borderId="15" xfId="4" applyNumberFormat="1" applyFont="1" applyFill="1" applyBorder="1"/>
    <xf numFmtId="0" fontId="4" fillId="0" borderId="16" xfId="0" applyFont="1" applyBorder="1" applyAlignment="1">
      <alignment horizontal="center" vertical="center" wrapText="1"/>
    </xf>
    <xf numFmtId="0" fontId="22" fillId="2" borderId="0" xfId="0" applyFont="1" applyFill="1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172" fontId="21" fillId="2" borderId="1" xfId="4" applyNumberFormat="1" applyFont="1" applyFill="1" applyBorder="1" applyAlignment="1">
      <alignment vertical="center"/>
    </xf>
    <xf numFmtId="10" fontId="21" fillId="2" borderId="10" xfId="5" applyNumberFormat="1" applyFont="1" applyFill="1" applyBorder="1" applyAlignment="1">
      <alignment horizontal="center" vertical="center"/>
    </xf>
    <xf numFmtId="171" fontId="21" fillId="2" borderId="1" xfId="4" applyNumberFormat="1" applyFont="1" applyFill="1" applyBorder="1" applyAlignment="1">
      <alignment horizontal="center" vertical="center"/>
    </xf>
    <xf numFmtId="171" fontId="21" fillId="2" borderId="7" xfId="4" applyNumberFormat="1" applyFont="1" applyFill="1" applyBorder="1" applyAlignment="1">
      <alignment horizontal="center" vertical="center"/>
    </xf>
    <xf numFmtId="172" fontId="21" fillId="2" borderId="15" xfId="4" applyNumberFormat="1" applyFont="1" applyFill="1" applyBorder="1" applyAlignment="1">
      <alignment vertical="center"/>
    </xf>
    <xf numFmtId="172" fontId="21" fillId="2" borderId="10" xfId="4" applyNumberFormat="1" applyFont="1" applyFill="1" applyBorder="1" applyAlignment="1">
      <alignment vertical="center"/>
    </xf>
    <xf numFmtId="165" fontId="23" fillId="3" borderId="18" xfId="6" applyFont="1" applyFill="1" applyBorder="1" applyAlignment="1">
      <alignment horizontal="center" vertical="center"/>
    </xf>
    <xf numFmtId="172" fontId="23" fillId="3" borderId="20" xfId="4" applyNumberFormat="1" applyFont="1" applyFill="1" applyBorder="1" applyAlignment="1">
      <alignment vertical="center"/>
    </xf>
    <xf numFmtId="172" fontId="23" fillId="3" borderId="15" xfId="4" applyNumberFormat="1" applyFont="1" applyFill="1" applyBorder="1" applyAlignment="1">
      <alignment horizontal="right" vertical="center"/>
    </xf>
    <xf numFmtId="172" fontId="21" fillId="3" borderId="1" xfId="4" applyNumberFormat="1" applyFont="1" applyFill="1" applyBorder="1" applyAlignment="1">
      <alignment vertical="center"/>
    </xf>
    <xf numFmtId="0" fontId="24" fillId="6" borderId="1" xfId="4" applyFont="1" applyFill="1" applyBorder="1" applyAlignment="1">
      <alignment horizontal="center"/>
    </xf>
    <xf numFmtId="172" fontId="23" fillId="6" borderId="1" xfId="4" applyNumberFormat="1" applyFont="1" applyFill="1" applyBorder="1" applyAlignment="1">
      <alignment vertical="center"/>
    </xf>
    <xf numFmtId="172" fontId="23" fillId="6" borderId="14" xfId="4" applyNumberFormat="1" applyFont="1" applyFill="1" applyBorder="1" applyAlignment="1">
      <alignment vertical="center"/>
    </xf>
    <xf numFmtId="172" fontId="23" fillId="6" borderId="1" xfId="4" applyNumberFormat="1" applyFont="1" applyFill="1" applyBorder="1" applyAlignment="1">
      <alignment horizontal="right" vertical="center"/>
    </xf>
    <xf numFmtId="172" fontId="23" fillId="6" borderId="20" xfId="4" applyNumberFormat="1" applyFont="1" applyFill="1" applyBorder="1" applyAlignment="1">
      <alignment vertical="center"/>
    </xf>
    <xf numFmtId="166" fontId="24" fillId="2" borderId="1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9" fontId="6" fillId="0" borderId="5" xfId="2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4" fontId="6" fillId="0" borderId="33" xfId="0" applyNumberFormat="1" applyFont="1" applyBorder="1" applyAlignment="1">
      <alignment horizontal="center" vertical="center"/>
    </xf>
    <xf numFmtId="14" fontId="6" fillId="0" borderId="28" xfId="0" applyNumberFormat="1" applyFont="1" applyBorder="1" applyAlignment="1">
      <alignment horizontal="center" vertical="center"/>
    </xf>
    <xf numFmtId="9" fontId="6" fillId="0" borderId="28" xfId="2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164" fontId="3" fillId="0" borderId="0" xfId="1" applyFont="1"/>
    <xf numFmtId="166" fontId="24" fillId="5" borderId="1" xfId="1" applyNumberFormat="1" applyFont="1" applyFill="1" applyBorder="1" applyAlignment="1">
      <alignment horizontal="center" vertical="center"/>
    </xf>
    <xf numFmtId="172" fontId="21" fillId="5" borderId="1" xfId="4" applyNumberFormat="1" applyFont="1" applyFill="1" applyBorder="1" applyAlignment="1">
      <alignment vertical="center"/>
    </xf>
    <xf numFmtId="172" fontId="21" fillId="5" borderId="15" xfId="4" applyNumberFormat="1" applyFont="1" applyFill="1" applyBorder="1" applyAlignment="1">
      <alignment vertical="center"/>
    </xf>
    <xf numFmtId="172" fontId="21" fillId="5" borderId="10" xfId="4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9" fontId="6" fillId="0" borderId="1" xfId="2" applyFont="1" applyFill="1" applyBorder="1" applyAlignment="1">
      <alignment horizontal="center" vertical="center"/>
    </xf>
    <xf numFmtId="0" fontId="24" fillId="4" borderId="1" xfId="4" applyFont="1" applyFill="1" applyBorder="1" applyAlignment="1">
      <alignment horizontal="center" vertical="center"/>
    </xf>
    <xf numFmtId="165" fontId="24" fillId="4" borderId="22" xfId="6" applyFont="1" applyFill="1" applyBorder="1" applyAlignment="1">
      <alignment horizontal="center" vertical="center"/>
    </xf>
    <xf numFmtId="165" fontId="24" fillId="4" borderId="1" xfId="6" applyFont="1" applyFill="1" applyBorder="1" applyAlignment="1">
      <alignment horizontal="center" vertical="center"/>
    </xf>
    <xf numFmtId="166" fontId="3" fillId="0" borderId="0" xfId="0" applyNumberFormat="1" applyFont="1"/>
    <xf numFmtId="0" fontId="11" fillId="0" borderId="0" xfId="0" applyFont="1" applyAlignment="1">
      <alignment horizontal="center" wrapText="1"/>
    </xf>
    <xf numFmtId="167" fontId="6" fillId="0" borderId="18" xfId="1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>
      <alignment horizontal="center" vertical="center"/>
    </xf>
    <xf numFmtId="1" fontId="6" fillId="0" borderId="7" xfId="2" applyNumberFormat="1" applyFont="1" applyFill="1" applyBorder="1" applyAlignment="1">
      <alignment horizontal="center" vertical="center"/>
    </xf>
    <xf numFmtId="0" fontId="14" fillId="0" borderId="3" xfId="1" applyNumberFormat="1" applyFont="1" applyFill="1" applyBorder="1" applyAlignment="1">
      <alignment vertical="center"/>
    </xf>
    <xf numFmtId="0" fontId="14" fillId="0" borderId="55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readingOrder="1"/>
    </xf>
    <xf numFmtId="164" fontId="3" fillId="0" borderId="0" xfId="1" applyFont="1" applyAlignment="1"/>
    <xf numFmtId="169" fontId="31" fillId="0" borderId="21" xfId="1" applyNumberFormat="1" applyFont="1" applyFill="1" applyBorder="1" applyAlignment="1">
      <alignment horizontal="right" vertical="center"/>
    </xf>
    <xf numFmtId="0" fontId="28" fillId="0" borderId="2" xfId="1" applyNumberFormat="1" applyFont="1" applyFill="1" applyBorder="1" applyAlignment="1">
      <alignment horizontal="center" vertical="center"/>
    </xf>
    <xf numFmtId="0" fontId="28" fillId="0" borderId="26" xfId="1" applyNumberFormat="1" applyFont="1" applyFill="1" applyBorder="1" applyAlignment="1">
      <alignment horizontal="center" vertical="center"/>
    </xf>
    <xf numFmtId="0" fontId="34" fillId="0" borderId="0" xfId="0" applyFont="1"/>
    <xf numFmtId="0" fontId="32" fillId="0" borderId="0" xfId="0" applyFont="1" applyAlignment="1">
      <alignment vertical="center"/>
    </xf>
    <xf numFmtId="166" fontId="30" fillId="0" borderId="24" xfId="1" applyNumberFormat="1" applyFont="1" applyFill="1" applyBorder="1" applyAlignment="1">
      <alignment horizontal="center" vertical="center" wrapText="1" readingOrder="1"/>
    </xf>
    <xf numFmtId="168" fontId="30" fillId="0" borderId="24" xfId="1" applyNumberFormat="1" applyFont="1" applyFill="1" applyBorder="1" applyAlignment="1">
      <alignment horizontal="center" vertical="center" readingOrder="1"/>
    </xf>
    <xf numFmtId="0" fontId="30" fillId="0" borderId="24" xfId="1" applyNumberFormat="1" applyFont="1" applyFill="1" applyBorder="1" applyAlignment="1">
      <alignment horizontal="center" vertical="center"/>
    </xf>
    <xf numFmtId="168" fontId="30" fillId="0" borderId="24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4" xfId="1" applyNumberFormat="1" applyFont="1" applyFill="1" applyBorder="1" applyAlignment="1">
      <alignment horizontal="center" vertical="center"/>
    </xf>
    <xf numFmtId="166" fontId="40" fillId="0" borderId="2" xfId="1" applyNumberFormat="1" applyFont="1" applyFill="1" applyBorder="1" applyAlignment="1">
      <alignment horizontal="center" vertical="center"/>
    </xf>
    <xf numFmtId="172" fontId="21" fillId="0" borderId="15" xfId="4" applyNumberFormat="1" applyFont="1" applyBorder="1" applyAlignment="1">
      <alignment vertical="center"/>
    </xf>
    <xf numFmtId="166" fontId="24" fillId="6" borderId="1" xfId="1" applyNumberFormat="1" applyFont="1" applyFill="1" applyBorder="1" applyAlignment="1">
      <alignment horizontal="center" vertical="center"/>
    </xf>
    <xf numFmtId="172" fontId="21" fillId="6" borderId="1" xfId="4" applyNumberFormat="1" applyFont="1" applyFill="1" applyBorder="1" applyAlignment="1">
      <alignment vertical="center"/>
    </xf>
    <xf numFmtId="172" fontId="21" fillId="6" borderId="15" xfId="4" applyNumberFormat="1" applyFont="1" applyFill="1" applyBorder="1" applyAlignment="1">
      <alignment vertical="center"/>
    </xf>
    <xf numFmtId="172" fontId="21" fillId="6" borderId="10" xfId="4" applyNumberFormat="1" applyFont="1" applyFill="1" applyBorder="1" applyAlignment="1">
      <alignment vertical="center"/>
    </xf>
    <xf numFmtId="174" fontId="0" fillId="0" borderId="0" xfId="0" applyNumberFormat="1"/>
    <xf numFmtId="14" fontId="4" fillId="0" borderId="24" xfId="1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166" fontId="6" fillId="2" borderId="5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4" fillId="0" borderId="0" xfId="0" applyNumberFormat="1" applyFont="1"/>
    <xf numFmtId="175" fontId="6" fillId="0" borderId="0" xfId="0" applyNumberFormat="1" applyFont="1"/>
    <xf numFmtId="164" fontId="6" fillId="0" borderId="0" xfId="1" applyFont="1"/>
    <xf numFmtId="0" fontId="3" fillId="0" borderId="0" xfId="1" applyNumberFormat="1" applyFont="1"/>
    <xf numFmtId="0" fontId="6" fillId="0" borderId="1" xfId="0" applyFont="1" applyBorder="1" applyAlignment="1">
      <alignment vertical="center" wrapText="1"/>
    </xf>
    <xf numFmtId="166" fontId="21" fillId="2" borderId="1" xfId="4" applyNumberFormat="1" applyFont="1" applyFill="1" applyBorder="1" applyAlignment="1">
      <alignment horizontal="center" vertical="center"/>
    </xf>
    <xf numFmtId="164" fontId="3" fillId="0" borderId="0" xfId="1" applyFont="1" applyAlignment="1">
      <alignment horizontal="center" vertical="center" readingOrder="1"/>
    </xf>
    <xf numFmtId="164" fontId="3" fillId="0" borderId="0" xfId="1" applyFont="1" applyAlignment="1">
      <alignment horizontal="left" readingOrder="1"/>
    </xf>
    <xf numFmtId="164" fontId="29" fillId="0" borderId="16" xfId="1" applyFont="1" applyBorder="1" applyAlignment="1">
      <alignment horizontal="center" vertical="center" wrapText="1" readingOrder="1"/>
    </xf>
    <xf numFmtId="0" fontId="30" fillId="0" borderId="1" xfId="1" applyNumberFormat="1" applyFont="1" applyBorder="1" applyAlignment="1">
      <alignment horizontal="center" vertical="center" wrapText="1" readingOrder="1"/>
    </xf>
    <xf numFmtId="164" fontId="30" fillId="0" borderId="1" xfId="1" applyFont="1" applyBorder="1" applyAlignment="1">
      <alignment horizontal="left" vertical="center" wrapText="1" readingOrder="1"/>
    </xf>
    <xf numFmtId="164" fontId="30" fillId="0" borderId="1" xfId="1" applyFont="1" applyBorder="1" applyAlignment="1">
      <alignment horizontal="left" vertical="center" wrapText="1"/>
    </xf>
    <xf numFmtId="164" fontId="30" fillId="0" borderId="1" xfId="1" applyFont="1" applyBorder="1" applyAlignment="1">
      <alignment horizontal="center" vertical="center" wrapText="1" readingOrder="1"/>
    </xf>
    <xf numFmtId="164" fontId="30" fillId="0" borderId="1" xfId="1" applyFont="1" applyBorder="1" applyAlignment="1">
      <alignment horizontal="center" vertical="center" wrapText="1"/>
    </xf>
    <xf numFmtId="164" fontId="38" fillId="3" borderId="14" xfId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22" fillId="0" borderId="0" xfId="0" applyFont="1" applyAlignment="1">
      <alignment vertical="center"/>
    </xf>
    <xf numFmtId="0" fontId="24" fillId="2" borderId="1" xfId="4" applyFont="1" applyFill="1" applyBorder="1" applyAlignment="1">
      <alignment horizontal="center" vertical="center"/>
    </xf>
    <xf numFmtId="0" fontId="21" fillId="2" borderId="47" xfId="4" applyFont="1" applyFill="1" applyBorder="1" applyAlignment="1">
      <alignment horizontal="center" vertical="center"/>
    </xf>
    <xf numFmtId="10" fontId="21" fillId="2" borderId="47" xfId="5" applyNumberFormat="1" applyFont="1" applyFill="1" applyBorder="1" applyAlignment="1">
      <alignment horizontal="center" vertical="center"/>
    </xf>
    <xf numFmtId="171" fontId="21" fillId="2" borderId="35" xfId="4" applyNumberFormat="1" applyFont="1" applyFill="1" applyBorder="1" applyAlignment="1">
      <alignment horizontal="center" vertical="center"/>
    </xf>
    <xf numFmtId="171" fontId="21" fillId="2" borderId="47" xfId="4" applyNumberFormat="1" applyFont="1" applyFill="1" applyBorder="1" applyAlignment="1">
      <alignment horizontal="center" vertical="center"/>
    </xf>
    <xf numFmtId="0" fontId="21" fillId="2" borderId="37" xfId="4" applyFont="1" applyFill="1" applyBorder="1" applyAlignment="1">
      <alignment horizontal="center" vertical="center"/>
    </xf>
    <xf numFmtId="0" fontId="21" fillId="2" borderId="38" xfId="4" applyFont="1" applyFill="1" applyBorder="1" applyAlignment="1">
      <alignment horizontal="center" vertical="center"/>
    </xf>
    <xf numFmtId="10" fontId="21" fillId="2" borderId="38" xfId="5" applyNumberFormat="1" applyFont="1" applyFill="1" applyBorder="1" applyAlignment="1">
      <alignment horizontal="center" vertical="center"/>
    </xf>
    <xf numFmtId="171" fontId="21" fillId="2" borderId="38" xfId="4" applyNumberFormat="1" applyFont="1" applyFill="1" applyBorder="1" applyAlignment="1">
      <alignment horizontal="center" vertical="center"/>
    </xf>
    <xf numFmtId="0" fontId="21" fillId="2" borderId="41" xfId="4" applyFont="1" applyFill="1" applyBorder="1" applyAlignment="1">
      <alignment horizontal="center" vertical="center"/>
    </xf>
    <xf numFmtId="0" fontId="21" fillId="2" borderId="42" xfId="4" applyFont="1" applyFill="1" applyBorder="1" applyAlignment="1">
      <alignment horizontal="center" vertical="center"/>
    </xf>
    <xf numFmtId="10" fontId="21" fillId="2" borderId="42" xfId="5" applyNumberFormat="1" applyFont="1" applyFill="1" applyBorder="1" applyAlignment="1">
      <alignment horizontal="center" vertical="center"/>
    </xf>
    <xf numFmtId="171" fontId="21" fillId="2" borderId="43" xfId="4" applyNumberFormat="1" applyFont="1" applyFill="1" applyBorder="1" applyAlignment="1">
      <alignment horizontal="center" vertical="center"/>
    </xf>
    <xf numFmtId="171" fontId="21" fillId="2" borderId="42" xfId="4" applyNumberFormat="1" applyFont="1" applyFill="1" applyBorder="1" applyAlignment="1">
      <alignment horizontal="center" vertical="center"/>
    </xf>
    <xf numFmtId="0" fontId="21" fillId="2" borderId="46" xfId="4" applyFont="1" applyFill="1" applyBorder="1" applyAlignment="1">
      <alignment horizontal="center" vertical="center"/>
    </xf>
    <xf numFmtId="165" fontId="24" fillId="2" borderId="7" xfId="6" applyFont="1" applyFill="1" applyBorder="1" applyAlignment="1">
      <alignment horizontal="center" vertical="center"/>
    </xf>
    <xf numFmtId="165" fontId="24" fillId="2" borderId="2" xfId="6" applyFont="1" applyFill="1" applyBorder="1" applyAlignment="1">
      <alignment horizontal="center" vertical="center"/>
    </xf>
    <xf numFmtId="0" fontId="21" fillId="2" borderId="19" xfId="4" applyFont="1" applyFill="1" applyBorder="1" applyAlignment="1">
      <alignment horizontal="center" vertical="center"/>
    </xf>
    <xf numFmtId="0" fontId="21" fillId="2" borderId="29" xfId="4" applyFont="1" applyFill="1" applyBorder="1" applyAlignment="1">
      <alignment horizontal="center" vertical="center"/>
    </xf>
    <xf numFmtId="0" fontId="21" fillId="2" borderId="34" xfId="4" applyFont="1" applyFill="1" applyBorder="1" applyAlignment="1">
      <alignment horizontal="center" vertical="center"/>
    </xf>
    <xf numFmtId="165" fontId="24" fillId="2" borderId="22" xfId="6" applyFont="1" applyFill="1" applyBorder="1" applyAlignment="1">
      <alignment horizontal="center" vertical="center"/>
    </xf>
    <xf numFmtId="165" fontId="24" fillId="2" borderId="23" xfId="6" applyFont="1" applyFill="1" applyBorder="1" applyAlignment="1">
      <alignment horizontal="center" vertical="center"/>
    </xf>
    <xf numFmtId="10" fontId="21" fillId="2" borderId="16" xfId="5" applyNumberFormat="1" applyFont="1" applyFill="1" applyBorder="1" applyAlignment="1">
      <alignment horizontal="center" vertical="center"/>
    </xf>
    <xf numFmtId="171" fontId="21" fillId="2" borderId="23" xfId="4" applyNumberFormat="1" applyFont="1" applyFill="1" applyBorder="1" applyAlignment="1">
      <alignment horizontal="center" vertical="center"/>
    </xf>
    <xf numFmtId="0" fontId="21" fillId="2" borderId="1" xfId="4" applyFont="1" applyFill="1" applyBorder="1" applyAlignment="1">
      <alignment horizontal="center" vertical="center"/>
    </xf>
    <xf numFmtId="0" fontId="24" fillId="2" borderId="26" xfId="4" applyFont="1" applyFill="1" applyBorder="1" applyAlignment="1">
      <alignment horizontal="center" vertical="center"/>
    </xf>
    <xf numFmtId="171" fontId="21" fillId="2" borderId="0" xfId="4" applyNumberFormat="1" applyFont="1" applyFill="1" applyAlignment="1">
      <alignment horizontal="center" vertical="center"/>
    </xf>
    <xf numFmtId="172" fontId="24" fillId="2" borderId="7" xfId="4" applyNumberFormat="1" applyFont="1" applyFill="1" applyBorder="1" applyAlignment="1">
      <alignment horizontal="center" vertical="center"/>
    </xf>
    <xf numFmtId="172" fontId="24" fillId="2" borderId="2" xfId="4" applyNumberFormat="1" applyFont="1" applyFill="1" applyBorder="1" applyAlignment="1">
      <alignment horizontal="center" vertical="center"/>
    </xf>
    <xf numFmtId="172" fontId="24" fillId="2" borderId="1" xfId="4" applyNumberFormat="1" applyFont="1" applyFill="1" applyBorder="1" applyAlignment="1">
      <alignment horizontal="center" vertical="center"/>
    </xf>
    <xf numFmtId="172" fontId="24" fillId="2" borderId="10" xfId="4" applyNumberFormat="1" applyFont="1" applyFill="1" applyBorder="1" applyAlignment="1">
      <alignment horizontal="center" vertical="center"/>
    </xf>
    <xf numFmtId="170" fontId="21" fillId="2" borderId="35" xfId="4" applyNumberFormat="1" applyFont="1" applyFill="1" applyBorder="1" applyAlignment="1">
      <alignment horizontal="center" vertical="center"/>
    </xf>
    <xf numFmtId="172" fontId="21" fillId="2" borderId="35" xfId="4" applyNumberFormat="1" applyFont="1" applyFill="1" applyBorder="1" applyAlignment="1">
      <alignment horizontal="center" vertical="center"/>
    </xf>
    <xf numFmtId="172" fontId="21" fillId="2" borderId="36" xfId="4" applyNumberFormat="1" applyFont="1" applyFill="1" applyBorder="1" applyAlignment="1">
      <alignment horizontal="center" vertical="center"/>
    </xf>
    <xf numFmtId="172" fontId="21" fillId="2" borderId="34" xfId="4" applyNumberFormat="1" applyFont="1" applyFill="1" applyBorder="1" applyAlignment="1">
      <alignment horizontal="center" vertical="center"/>
    </xf>
    <xf numFmtId="172" fontId="21" fillId="2" borderId="37" xfId="4" applyNumberFormat="1" applyFont="1" applyFill="1" applyBorder="1" applyAlignment="1">
      <alignment horizontal="center" vertical="center"/>
    </xf>
    <xf numFmtId="170" fontId="21" fillId="2" borderId="39" xfId="4" applyNumberFormat="1" applyFont="1" applyFill="1" applyBorder="1" applyAlignment="1">
      <alignment horizontal="center" vertical="center"/>
    </xf>
    <xf numFmtId="172" fontId="21" fillId="2" borderId="39" xfId="4" applyNumberFormat="1" applyFont="1" applyFill="1" applyBorder="1" applyAlignment="1">
      <alignment horizontal="center" vertical="center"/>
    </xf>
    <xf numFmtId="172" fontId="21" fillId="2" borderId="40" xfId="4" applyNumberFormat="1" applyFont="1" applyFill="1" applyBorder="1" applyAlignment="1">
      <alignment horizontal="center" vertical="center"/>
    </xf>
    <xf numFmtId="172" fontId="21" fillId="2" borderId="38" xfId="4" applyNumberFormat="1" applyFont="1" applyFill="1" applyBorder="1" applyAlignment="1">
      <alignment horizontal="center" vertical="center"/>
    </xf>
    <xf numFmtId="172" fontId="21" fillId="2" borderId="41" xfId="4" applyNumberFormat="1" applyFont="1" applyFill="1" applyBorder="1" applyAlignment="1">
      <alignment horizontal="center" vertical="center"/>
    </xf>
    <xf numFmtId="170" fontId="21" fillId="2" borderId="43" xfId="4" applyNumberFormat="1" applyFont="1" applyFill="1" applyBorder="1" applyAlignment="1">
      <alignment horizontal="center" vertical="center"/>
    </xf>
    <xf numFmtId="172" fontId="21" fillId="2" borderId="43" xfId="4" applyNumberFormat="1" applyFont="1" applyFill="1" applyBorder="1" applyAlignment="1">
      <alignment horizontal="center" vertical="center"/>
    </xf>
    <xf numFmtId="172" fontId="21" fillId="2" borderId="45" xfId="4" applyNumberFormat="1" applyFont="1" applyFill="1" applyBorder="1" applyAlignment="1">
      <alignment horizontal="center" vertical="center"/>
    </xf>
    <xf numFmtId="172" fontId="21" fillId="2" borderId="44" xfId="4" applyNumberFormat="1" applyFont="1" applyFill="1" applyBorder="1" applyAlignment="1">
      <alignment horizontal="center" vertical="center"/>
    </xf>
    <xf numFmtId="172" fontId="21" fillId="2" borderId="46" xfId="4" applyNumberFormat="1" applyFont="1" applyFill="1" applyBorder="1" applyAlignment="1">
      <alignment horizontal="center" vertical="center"/>
    </xf>
    <xf numFmtId="172" fontId="21" fillId="2" borderId="0" xfId="4" applyNumberFormat="1" applyFont="1" applyFill="1" applyAlignment="1">
      <alignment horizontal="center" vertical="center"/>
    </xf>
    <xf numFmtId="172" fontId="21" fillId="2" borderId="26" xfId="4" applyNumberFormat="1" applyFont="1" applyFill="1" applyBorder="1" applyAlignment="1">
      <alignment horizontal="center" vertical="center"/>
    </xf>
    <xf numFmtId="172" fontId="21" fillId="2" borderId="19" xfId="4" applyNumberFormat="1" applyFont="1" applyFill="1" applyBorder="1" applyAlignment="1">
      <alignment horizontal="center" vertical="center"/>
    </xf>
    <xf numFmtId="172" fontId="21" fillId="2" borderId="30" xfId="4" applyNumberFormat="1" applyFont="1" applyFill="1" applyBorder="1" applyAlignment="1">
      <alignment horizontal="center" vertical="center"/>
    </xf>
    <xf numFmtId="172" fontId="21" fillId="2" borderId="31" xfId="4" applyNumberFormat="1" applyFont="1" applyFill="1" applyBorder="1" applyAlignment="1">
      <alignment horizontal="center" vertical="center"/>
    </xf>
    <xf numFmtId="164" fontId="21" fillId="2" borderId="34" xfId="1" applyFont="1" applyFill="1" applyBorder="1" applyAlignment="1">
      <alignment horizontal="center" vertical="center"/>
    </xf>
    <xf numFmtId="172" fontId="24" fillId="2" borderId="16" xfId="4" applyNumberFormat="1" applyFont="1" applyFill="1" applyBorder="1" applyAlignment="1">
      <alignment horizontal="center" vertical="center"/>
    </xf>
    <xf numFmtId="172" fontId="24" fillId="2" borderId="17" xfId="4" applyNumberFormat="1" applyFont="1" applyFill="1" applyBorder="1" applyAlignment="1">
      <alignment horizontal="center" vertical="center"/>
    </xf>
    <xf numFmtId="170" fontId="21" fillId="2" borderId="1" xfId="4" applyNumberFormat="1" applyFont="1" applyFill="1" applyBorder="1" applyAlignment="1">
      <alignment horizontal="center" vertical="center"/>
    </xf>
    <xf numFmtId="172" fontId="21" fillId="2" borderId="1" xfId="4" applyNumberFormat="1" applyFont="1" applyFill="1" applyBorder="1" applyAlignment="1">
      <alignment horizontal="center" vertical="center"/>
    </xf>
    <xf numFmtId="172" fontId="21" fillId="2" borderId="10" xfId="4" applyNumberFormat="1" applyFont="1" applyFill="1" applyBorder="1" applyAlignment="1">
      <alignment horizontal="center" vertical="center"/>
    </xf>
    <xf numFmtId="166" fontId="0" fillId="0" borderId="0" xfId="0" applyNumberFormat="1"/>
    <xf numFmtId="164" fontId="32" fillId="0" borderId="2" xfId="1" applyNumberFormat="1" applyFont="1" applyFill="1" applyBorder="1" applyAlignment="1">
      <alignment horizontal="center" vertical="center"/>
    </xf>
    <xf numFmtId="164" fontId="32" fillId="0" borderId="1" xfId="1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center" vertical="center"/>
    </xf>
    <xf numFmtId="166" fontId="10" fillId="0" borderId="0" xfId="0" applyNumberFormat="1" applyFont="1"/>
    <xf numFmtId="166" fontId="11" fillId="0" borderId="0" xfId="0" applyNumberFormat="1" applyFont="1" applyAlignment="1">
      <alignment horizontal="center" wrapText="1"/>
    </xf>
    <xf numFmtId="0" fontId="30" fillId="0" borderId="54" xfId="0" applyFont="1" applyFill="1" applyBorder="1" applyAlignment="1">
      <alignment horizontal="center" vertical="center" wrapText="1" readingOrder="1"/>
    </xf>
    <xf numFmtId="0" fontId="30" fillId="0" borderId="24" xfId="0" applyFont="1" applyFill="1" applyBorder="1" applyAlignment="1">
      <alignment horizontal="left" vertical="center" wrapText="1" readingOrder="1"/>
    </xf>
    <xf numFmtId="0" fontId="30" fillId="0" borderId="24" xfId="0" applyFont="1" applyFill="1" applyBorder="1" applyAlignment="1">
      <alignment horizontal="center" vertical="center" wrapText="1" readingOrder="1"/>
    </xf>
    <xf numFmtId="2" fontId="30" fillId="0" borderId="24" xfId="0" applyNumberFormat="1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left" vertical="center" wrapText="1"/>
    </xf>
    <xf numFmtId="0" fontId="30" fillId="0" borderId="24" xfId="0" applyFont="1" applyFill="1" applyBorder="1" applyAlignment="1">
      <alignment horizontal="center" vertical="center" wrapText="1"/>
    </xf>
    <xf numFmtId="4" fontId="30" fillId="0" borderId="24" xfId="0" applyNumberFormat="1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164" fontId="32" fillId="0" borderId="0" xfId="1" applyNumberFormat="1" applyFont="1" applyFill="1" applyBorder="1" applyAlignment="1">
      <alignment horizontal="center" vertical="center"/>
    </xf>
    <xf numFmtId="14" fontId="0" fillId="0" borderId="0" xfId="0" applyNumberFormat="1"/>
    <xf numFmtId="164" fontId="6" fillId="0" borderId="16" xfId="1" applyFont="1" applyFill="1" applyBorder="1" applyAlignment="1">
      <alignment horizontal="center" vertical="center"/>
    </xf>
    <xf numFmtId="164" fontId="24" fillId="5" borderId="1" xfId="1" applyNumberFormat="1" applyFont="1" applyFill="1" applyBorder="1" applyAlignment="1">
      <alignment horizontal="center" vertical="center"/>
    </xf>
    <xf numFmtId="0" fontId="43" fillId="0" borderId="18" xfId="0" applyFont="1" applyBorder="1" applyAlignment="1">
      <alignment horizontal="right"/>
    </xf>
    <xf numFmtId="166" fontId="39" fillId="3" borderId="2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6" fontId="39" fillId="3" borderId="1" xfId="1" applyNumberFormat="1" applyFont="1" applyFill="1" applyBorder="1" applyAlignment="1">
      <alignment horizontal="center" vertical="center"/>
    </xf>
    <xf numFmtId="9" fontId="6" fillId="3" borderId="1" xfId="2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66" fontId="44" fillId="0" borderId="0" xfId="0" applyNumberFormat="1" applyFont="1" applyAlignment="1">
      <alignment vertical="center"/>
    </xf>
    <xf numFmtId="164" fontId="45" fillId="0" borderId="0" xfId="0" applyNumberFormat="1" applyFont="1" applyAlignment="1">
      <alignment vertical="center"/>
    </xf>
    <xf numFmtId="166" fontId="44" fillId="0" borderId="0" xfId="0" applyNumberFormat="1" applyFont="1" applyAlignment="1">
      <alignment horizontal="center" vertical="center"/>
    </xf>
    <xf numFmtId="167" fontId="24" fillId="5" borderId="1" xfId="1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8" fillId="3" borderId="7" xfId="1" applyFont="1" applyFill="1" applyBorder="1" applyAlignment="1">
      <alignment horizontal="center" vertical="center"/>
    </xf>
    <xf numFmtId="14" fontId="6" fillId="8" borderId="4" xfId="0" applyNumberFormat="1" applyFont="1" applyFill="1" applyBorder="1" applyAlignment="1">
      <alignment horizontal="center" vertical="center"/>
    </xf>
    <xf numFmtId="166" fontId="6" fillId="8" borderId="4" xfId="1" applyNumberFormat="1" applyFont="1" applyFill="1" applyBorder="1" applyAlignment="1">
      <alignment horizontal="center" vertical="center"/>
    </xf>
    <xf numFmtId="0" fontId="6" fillId="8" borderId="16" xfId="2" applyNumberFormat="1" applyFont="1" applyFill="1" applyBorder="1" applyAlignment="1">
      <alignment horizontal="center" vertical="center"/>
    </xf>
    <xf numFmtId="166" fontId="6" fillId="8" borderId="11" xfId="1" applyNumberFormat="1" applyFont="1" applyFill="1" applyBorder="1" applyAlignment="1">
      <alignment horizontal="center" vertical="center"/>
    </xf>
    <xf numFmtId="14" fontId="6" fillId="8" borderId="5" xfId="0" applyNumberFormat="1" applyFont="1" applyFill="1" applyBorder="1" applyAlignment="1">
      <alignment horizontal="center" vertical="center"/>
    </xf>
    <xf numFmtId="166" fontId="6" fillId="8" borderId="5" xfId="1" applyNumberFormat="1" applyFont="1" applyFill="1" applyBorder="1" applyAlignment="1">
      <alignment horizontal="center" vertical="center"/>
    </xf>
    <xf numFmtId="166" fontId="6" fillId="8" borderId="29" xfId="1" applyNumberFormat="1" applyFont="1" applyFill="1" applyBorder="1" applyAlignment="1">
      <alignment horizontal="center" vertical="center"/>
    </xf>
    <xf numFmtId="166" fontId="6" fillId="8" borderId="32" xfId="1" applyNumberFormat="1" applyFont="1" applyFill="1" applyBorder="1" applyAlignment="1">
      <alignment horizontal="center" vertical="center"/>
    </xf>
    <xf numFmtId="0" fontId="6" fillId="8" borderId="29" xfId="2" applyNumberFormat="1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166" fontId="6" fillId="3" borderId="5" xfId="1" applyNumberFormat="1" applyFont="1" applyFill="1" applyBorder="1" applyAlignment="1">
      <alignment horizontal="center" vertical="center"/>
    </xf>
    <xf numFmtId="14" fontId="6" fillId="8" borderId="29" xfId="0" applyNumberFormat="1" applyFont="1" applyFill="1" applyBorder="1" applyAlignment="1">
      <alignment horizontal="center" vertical="center"/>
    </xf>
    <xf numFmtId="166" fontId="28" fillId="3" borderId="5" xfId="1" applyNumberFormat="1" applyFont="1" applyFill="1" applyBorder="1" applyAlignment="1">
      <alignment horizontal="center" vertical="center"/>
    </xf>
    <xf numFmtId="166" fontId="6" fillId="8" borderId="6" xfId="1" applyNumberFormat="1" applyFont="1" applyFill="1" applyBorder="1" applyAlignment="1">
      <alignment horizontal="center" vertical="center"/>
    </xf>
    <xf numFmtId="14" fontId="6" fillId="8" borderId="19" xfId="0" applyNumberFormat="1" applyFont="1" applyFill="1" applyBorder="1" applyAlignment="1">
      <alignment horizontal="center" vertical="center"/>
    </xf>
    <xf numFmtId="166" fontId="6" fillId="8" borderId="28" xfId="1" applyNumberFormat="1" applyFont="1" applyFill="1" applyBorder="1" applyAlignment="1">
      <alignment horizontal="center" vertical="center"/>
    </xf>
    <xf numFmtId="166" fontId="6" fillId="8" borderId="30" xfId="1" applyNumberFormat="1" applyFont="1" applyFill="1" applyBorder="1" applyAlignment="1">
      <alignment horizontal="center" vertical="center"/>
    </xf>
    <xf numFmtId="166" fontId="6" fillId="8" borderId="15" xfId="1" applyNumberFormat="1" applyFont="1" applyFill="1" applyBorder="1" applyAlignment="1">
      <alignment horizontal="center" vertical="center"/>
    </xf>
    <xf numFmtId="14" fontId="6" fillId="8" borderId="15" xfId="0" applyNumberFormat="1" applyFont="1" applyFill="1" applyBorder="1" applyAlignment="1">
      <alignment horizontal="center" vertical="center"/>
    </xf>
    <xf numFmtId="14" fontId="6" fillId="8" borderId="16" xfId="0" applyNumberFormat="1" applyFont="1" applyFill="1" applyBorder="1" applyAlignment="1">
      <alignment horizontal="center" vertical="center"/>
    </xf>
    <xf numFmtId="166" fontId="6" fillId="8" borderId="20" xfId="1" applyNumberFormat="1" applyFont="1" applyFill="1" applyBorder="1" applyAlignment="1">
      <alignment horizontal="center" vertical="center"/>
    </xf>
    <xf numFmtId="166" fontId="6" fillId="3" borderId="6" xfId="1" applyNumberFormat="1" applyFont="1" applyFill="1" applyBorder="1" applyAlignment="1">
      <alignment horizontal="center" vertical="center"/>
    </xf>
    <xf numFmtId="14" fontId="6" fillId="8" borderId="1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66" fontId="6" fillId="8" borderId="1" xfId="1" applyNumberFormat="1" applyFont="1" applyFill="1" applyBorder="1" applyAlignment="1">
      <alignment horizontal="center" vertical="center"/>
    </xf>
    <xf numFmtId="166" fontId="6" fillId="8" borderId="10" xfId="1" applyNumberFormat="1" applyFont="1" applyFill="1" applyBorder="1" applyAlignment="1">
      <alignment horizontal="center" vertical="center"/>
    </xf>
    <xf numFmtId="0" fontId="6" fillId="8" borderId="1" xfId="2" applyNumberFormat="1" applyFont="1" applyFill="1" applyBorder="1" applyAlignment="1">
      <alignment horizontal="center" vertical="center"/>
    </xf>
    <xf numFmtId="14" fontId="6" fillId="3" borderId="15" xfId="0" applyNumberFormat="1" applyFont="1" applyFill="1" applyBorder="1" applyAlignment="1">
      <alignment horizontal="center" vertical="center"/>
    </xf>
    <xf numFmtId="0" fontId="6" fillId="8" borderId="4" xfId="2" applyNumberFormat="1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166" fontId="6" fillId="8" borderId="16" xfId="1" applyNumberFormat="1" applyFont="1" applyFill="1" applyBorder="1" applyAlignment="1">
      <alignment horizontal="center" vertical="center"/>
    </xf>
    <xf numFmtId="166" fontId="6" fillId="3" borderId="1" xfId="1" applyNumberFormat="1" applyFont="1" applyFill="1" applyBorder="1" applyAlignment="1">
      <alignment horizontal="center" vertical="center"/>
    </xf>
    <xf numFmtId="166" fontId="6" fillId="3" borderId="2" xfId="1" applyNumberFormat="1" applyFont="1" applyFill="1" applyBorder="1" applyAlignment="1">
      <alignment horizontal="center" vertical="center"/>
    </xf>
    <xf numFmtId="166" fontId="6" fillId="7" borderId="2" xfId="1" applyNumberFormat="1" applyFont="1" applyFill="1" applyBorder="1" applyAlignment="1">
      <alignment horizontal="center" vertical="center"/>
    </xf>
    <xf numFmtId="0" fontId="6" fillId="8" borderId="15" xfId="1" applyNumberFormat="1" applyFont="1" applyFill="1" applyBorder="1" applyAlignment="1">
      <alignment horizontal="center" vertical="center"/>
    </xf>
    <xf numFmtId="0" fontId="6" fillId="8" borderId="29" xfId="1" applyNumberFormat="1" applyFont="1" applyFill="1" applyBorder="1" applyAlignment="1">
      <alignment horizontal="center" vertical="center"/>
    </xf>
    <xf numFmtId="0" fontId="6" fillId="8" borderId="6" xfId="1" applyNumberFormat="1" applyFont="1" applyFill="1" applyBorder="1" applyAlignment="1">
      <alignment horizontal="center" vertical="center"/>
    </xf>
    <xf numFmtId="0" fontId="6" fillId="8" borderId="4" xfId="1" applyNumberFormat="1" applyFont="1" applyFill="1" applyBorder="1" applyAlignment="1">
      <alignment horizontal="center" vertical="center"/>
    </xf>
    <xf numFmtId="0" fontId="6" fillId="8" borderId="5" xfId="1" applyNumberFormat="1" applyFont="1" applyFill="1" applyBorder="1" applyAlignment="1">
      <alignment horizontal="center" vertical="center"/>
    </xf>
    <xf numFmtId="166" fontId="6" fillId="8" borderId="57" xfId="1" applyNumberFormat="1" applyFont="1" applyFill="1" applyBorder="1" applyAlignment="1">
      <alignment horizontal="center" vertical="center"/>
    </xf>
    <xf numFmtId="166" fontId="6" fillId="8" borderId="22" xfId="1" applyNumberFormat="1" applyFont="1" applyFill="1" applyBorder="1" applyAlignment="1">
      <alignment horizontal="center" vertical="center"/>
    </xf>
    <xf numFmtId="166" fontId="6" fillId="2" borderId="16" xfId="1" applyNumberFormat="1" applyFont="1" applyFill="1" applyBorder="1" applyAlignment="1">
      <alignment horizontal="center" vertical="center"/>
    </xf>
    <xf numFmtId="166" fontId="6" fillId="8" borderId="7" xfId="1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166" fontId="6" fillId="8" borderId="8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8" borderId="31" xfId="1" applyNumberFormat="1" applyFont="1" applyFill="1" applyBorder="1" applyAlignment="1">
      <alignment horizontal="center" vertical="center"/>
    </xf>
    <xf numFmtId="166" fontId="6" fillId="2" borderId="29" xfId="1" applyNumberFormat="1" applyFont="1" applyFill="1" applyBorder="1" applyAlignment="1">
      <alignment horizontal="center" vertical="center"/>
    </xf>
    <xf numFmtId="166" fontId="6" fillId="8" borderId="56" xfId="1" applyNumberFormat="1" applyFont="1" applyFill="1" applyBorder="1" applyAlignment="1">
      <alignment horizontal="center" vertical="center"/>
    </xf>
    <xf numFmtId="166" fontId="6" fillId="2" borderId="28" xfId="1" applyNumberFormat="1" applyFont="1" applyFill="1" applyBorder="1" applyAlignment="1">
      <alignment horizontal="center" vertical="center"/>
    </xf>
    <xf numFmtId="166" fontId="6" fillId="8" borderId="18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8" borderId="9" xfId="1" applyNumberFormat="1" applyFont="1" applyFill="1" applyBorder="1" applyAlignment="1">
      <alignment horizontal="center" vertical="center"/>
    </xf>
    <xf numFmtId="166" fontId="28" fillId="7" borderId="7" xfId="1" applyNumberFormat="1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6" fontId="35" fillId="3" borderId="52" xfId="1" applyNumberFormat="1" applyFont="1" applyFill="1" applyBorder="1" applyAlignment="1">
      <alignment horizontal="center" vertical="center" wrapText="1"/>
    </xf>
    <xf numFmtId="167" fontId="35" fillId="3" borderId="52" xfId="1" applyNumberFormat="1" applyFont="1" applyFill="1" applyBorder="1" applyAlignment="1">
      <alignment horizontal="center" vertical="center" wrapText="1"/>
    </xf>
    <xf numFmtId="164" fontId="3" fillId="0" borderId="0" xfId="1" applyNumberFormat="1" applyFont="1"/>
    <xf numFmtId="167" fontId="35" fillId="9" borderId="52" xfId="1" applyNumberFormat="1" applyFont="1" applyFill="1" applyBorder="1" applyAlignment="1">
      <alignment horizontal="center" vertical="center" wrapText="1"/>
    </xf>
    <xf numFmtId="167" fontId="35" fillId="4" borderId="52" xfId="1" applyNumberFormat="1" applyFont="1" applyFill="1" applyBorder="1" applyAlignment="1">
      <alignment horizontal="center" vertical="center" wrapText="1"/>
    </xf>
    <xf numFmtId="49" fontId="30" fillId="0" borderId="24" xfId="1" applyNumberFormat="1" applyFont="1" applyFill="1" applyBorder="1" applyAlignment="1">
      <alignment horizontal="center" vertical="center" wrapText="1" readingOrder="1"/>
    </xf>
    <xf numFmtId="167" fontId="47" fillId="3" borderId="52" xfId="1" applyNumberFormat="1" applyFont="1" applyFill="1" applyBorder="1" applyAlignment="1">
      <alignment horizontal="center" vertical="center" wrapText="1"/>
    </xf>
    <xf numFmtId="167" fontId="48" fillId="3" borderId="52" xfId="1" applyNumberFormat="1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/>
    </xf>
    <xf numFmtId="164" fontId="28" fillId="0" borderId="26" xfId="1" applyFont="1" applyBorder="1" applyAlignment="1">
      <alignment horizontal="center" vertical="center" wrapText="1"/>
    </xf>
    <xf numFmtId="164" fontId="28" fillId="0" borderId="2" xfId="1" applyFont="1" applyFill="1" applyBorder="1" applyAlignment="1">
      <alignment horizontal="center" vertical="center"/>
    </xf>
    <xf numFmtId="164" fontId="28" fillId="0" borderId="26" xfId="1" applyFont="1" applyFill="1" applyBorder="1" applyAlignment="1">
      <alignment horizontal="center" vertical="center"/>
    </xf>
    <xf numFmtId="164" fontId="28" fillId="0" borderId="2" xfId="1" applyFont="1" applyBorder="1" applyAlignment="1">
      <alignment horizontal="center" vertical="center"/>
    </xf>
    <xf numFmtId="167" fontId="32" fillId="3" borderId="15" xfId="1" applyNumberFormat="1" applyFont="1" applyFill="1" applyBorder="1" applyAlignment="1">
      <alignment vertical="center" readingOrder="1"/>
    </xf>
    <xf numFmtId="167" fontId="32" fillId="3" borderId="15" xfId="1" applyNumberFormat="1" applyFont="1" applyFill="1" applyBorder="1" applyAlignment="1">
      <alignment horizontal="center" vertical="center" wrapText="1"/>
    </xf>
    <xf numFmtId="167" fontId="30" fillId="0" borderId="1" xfId="1" applyNumberFormat="1" applyFont="1" applyFill="1" applyBorder="1" applyAlignment="1">
      <alignment horizontal="center" vertical="center" wrapText="1" readingOrder="1"/>
    </xf>
    <xf numFmtId="167" fontId="30" fillId="0" borderId="1" xfId="1" applyNumberFormat="1" applyFont="1" applyFill="1" applyBorder="1" applyAlignment="1">
      <alignment horizontal="right" vertical="center" wrapText="1" readingOrder="1"/>
    </xf>
    <xf numFmtId="167" fontId="30" fillId="10" borderId="1" xfId="1" applyNumberFormat="1" applyFont="1" applyFill="1" applyBorder="1" applyAlignment="1">
      <alignment horizontal="center" vertical="center" wrapText="1" readingOrder="1"/>
    </xf>
    <xf numFmtId="166" fontId="6" fillId="3" borderId="18" xfId="1" applyNumberFormat="1" applyFont="1" applyFill="1" applyBorder="1" applyAlignment="1">
      <alignment horizontal="center" vertical="center"/>
    </xf>
    <xf numFmtId="166" fontId="6" fillId="8" borderId="0" xfId="1" applyNumberFormat="1" applyFont="1" applyFill="1" applyBorder="1" applyAlignment="1">
      <alignment horizontal="center" vertical="center"/>
    </xf>
    <xf numFmtId="166" fontId="6" fillId="3" borderId="57" xfId="1" applyNumberFormat="1" applyFont="1" applyFill="1" applyBorder="1" applyAlignment="1">
      <alignment horizontal="center" vertical="center"/>
    </xf>
    <xf numFmtId="166" fontId="6" fillId="3" borderId="28" xfId="1" applyNumberFormat="1" applyFont="1" applyFill="1" applyBorder="1" applyAlignment="1">
      <alignment horizontal="center" vertical="center"/>
    </xf>
    <xf numFmtId="9" fontId="6" fillId="8" borderId="16" xfId="2" applyFont="1" applyFill="1" applyBorder="1" applyAlignment="1">
      <alignment horizontal="center" vertical="center"/>
    </xf>
    <xf numFmtId="9" fontId="6" fillId="8" borderId="1" xfId="2" applyFont="1" applyFill="1" applyBorder="1" applyAlignment="1">
      <alignment horizontal="center" vertical="center"/>
    </xf>
    <xf numFmtId="9" fontId="6" fillId="8" borderId="5" xfId="2" applyFont="1" applyFill="1" applyBorder="1" applyAlignment="1">
      <alignment horizontal="center" vertical="center"/>
    </xf>
    <xf numFmtId="9" fontId="6" fillId="8" borderId="15" xfId="2" applyFont="1" applyFill="1" applyBorder="1" applyAlignment="1">
      <alignment horizontal="center" vertical="center"/>
    </xf>
    <xf numFmtId="9" fontId="6" fillId="8" borderId="29" xfId="2" applyFont="1" applyFill="1" applyBorder="1" applyAlignment="1">
      <alignment horizontal="center" vertical="center"/>
    </xf>
    <xf numFmtId="9" fontId="6" fillId="8" borderId="19" xfId="2" applyFont="1" applyFill="1" applyBorder="1" applyAlignment="1">
      <alignment horizontal="center" vertical="center"/>
    </xf>
    <xf numFmtId="9" fontId="6" fillId="8" borderId="4" xfId="2" applyFont="1" applyFill="1" applyBorder="1" applyAlignment="1">
      <alignment horizontal="center" vertical="center"/>
    </xf>
    <xf numFmtId="1" fontId="6" fillId="8" borderId="16" xfId="2" applyNumberFormat="1" applyFont="1" applyFill="1" applyBorder="1" applyAlignment="1">
      <alignment horizontal="center" vertical="center"/>
    </xf>
    <xf numFmtId="1" fontId="6" fillId="8" borderId="1" xfId="2" applyNumberFormat="1" applyFont="1" applyFill="1" applyBorder="1" applyAlignment="1">
      <alignment horizontal="center" vertical="center"/>
    </xf>
    <xf numFmtId="1" fontId="6" fillId="8" borderId="4" xfId="2" applyNumberFormat="1" applyFont="1" applyFill="1" applyBorder="1" applyAlignment="1">
      <alignment horizontal="center" vertical="center"/>
    </xf>
    <xf numFmtId="1" fontId="6" fillId="8" borderId="29" xfId="2" applyNumberFormat="1" applyFont="1" applyFill="1" applyBorder="1" applyAlignment="1">
      <alignment horizontal="center" vertical="center"/>
    </xf>
    <xf numFmtId="1" fontId="6" fillId="8" borderId="15" xfId="2" applyNumberFormat="1" applyFont="1" applyFill="1" applyBorder="1" applyAlignment="1">
      <alignment horizontal="center" vertical="center"/>
    </xf>
    <xf numFmtId="1" fontId="6" fillId="8" borderId="19" xfId="2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64" fontId="30" fillId="0" borderId="24" xfId="1" applyNumberFormat="1" applyFont="1" applyFill="1" applyBorder="1" applyAlignment="1">
      <alignment horizontal="center" vertical="center" wrapText="1" readingOrder="1"/>
    </xf>
    <xf numFmtId="164" fontId="30" fillId="0" borderId="24" xfId="1" applyNumberFormat="1" applyFont="1" applyFill="1" applyBorder="1" applyAlignment="1">
      <alignment horizontal="center" vertical="center"/>
    </xf>
    <xf numFmtId="164" fontId="30" fillId="0" borderId="24" xfId="1" applyNumberFormat="1" applyFont="1" applyFill="1" applyBorder="1" applyAlignment="1">
      <alignment horizontal="center" vertical="center" wrapText="1"/>
    </xf>
    <xf numFmtId="164" fontId="30" fillId="0" borderId="21" xfId="1" applyNumberFormat="1" applyFont="1" applyFill="1" applyBorder="1" applyAlignment="1">
      <alignment horizontal="right" vertical="center" wrapText="1" readingOrder="1"/>
    </xf>
    <xf numFmtId="164" fontId="30" fillId="0" borderId="50" xfId="1" applyNumberFormat="1" applyFont="1" applyFill="1" applyBorder="1" applyAlignment="1">
      <alignment vertical="center" wrapText="1" readingOrder="1"/>
    </xf>
    <xf numFmtId="164" fontId="30" fillId="0" borderId="24" xfId="1" applyNumberFormat="1" applyFont="1" applyFill="1" applyBorder="1" applyAlignment="1">
      <alignment horizontal="right" vertical="center" wrapText="1" readingOrder="1"/>
    </xf>
    <xf numFmtId="0" fontId="35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168" fontId="38" fillId="0" borderId="0" xfId="1" applyNumberFormat="1" applyFont="1" applyFill="1" applyBorder="1" applyAlignment="1">
      <alignment horizontal="center" vertical="center"/>
    </xf>
    <xf numFmtId="0" fontId="38" fillId="0" borderId="0" xfId="1" applyNumberFormat="1" applyFont="1" applyFill="1" applyBorder="1" applyAlignment="1">
      <alignment horizontal="center" vertical="center"/>
    </xf>
    <xf numFmtId="167" fontId="38" fillId="0" borderId="0" xfId="2" applyNumberFormat="1" applyFont="1" applyFill="1" applyBorder="1" applyAlignment="1">
      <alignment horizontal="center" vertical="center" wrapText="1"/>
    </xf>
    <xf numFmtId="0" fontId="34" fillId="0" borderId="26" xfId="0" applyFont="1" applyBorder="1"/>
    <xf numFmtId="0" fontId="34" fillId="0" borderId="0" xfId="0" applyFont="1" applyBorder="1"/>
    <xf numFmtId="174" fontId="37" fillId="0" borderId="17" xfId="0" applyNumberFormat="1" applyFont="1" applyBorder="1" applyAlignment="1">
      <alignment horizontal="center" vertical="center" wrapText="1" readingOrder="1"/>
    </xf>
    <xf numFmtId="173" fontId="32" fillId="0" borderId="1" xfId="2" applyNumberFormat="1" applyFont="1" applyFill="1" applyBorder="1" applyAlignment="1">
      <alignment horizontal="center" vertical="center" readingOrder="1"/>
    </xf>
    <xf numFmtId="169" fontId="33" fillId="0" borderId="2" xfId="1" applyNumberFormat="1" applyFont="1" applyFill="1" applyBorder="1" applyAlignment="1">
      <alignment vertical="center" readingOrder="1"/>
    </xf>
    <xf numFmtId="166" fontId="32" fillId="0" borderId="0" xfId="1" applyNumberFormat="1" applyFont="1" applyFill="1" applyBorder="1" applyAlignment="1">
      <alignment vertical="center" readingOrder="1"/>
    </xf>
    <xf numFmtId="49" fontId="30" fillId="0" borderId="21" xfId="1" applyNumberFormat="1" applyFont="1" applyFill="1" applyBorder="1" applyAlignment="1">
      <alignment horizontal="center" vertical="center" wrapText="1" readingOrder="1"/>
    </xf>
    <xf numFmtId="9" fontId="30" fillId="0" borderId="24" xfId="0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Border="1"/>
    <xf numFmtId="173" fontId="31" fillId="0" borderId="24" xfId="2" applyNumberFormat="1" applyFont="1" applyFill="1" applyBorder="1" applyAlignment="1">
      <alignment vertical="center"/>
    </xf>
    <xf numFmtId="169" fontId="31" fillId="0" borderId="24" xfId="1" applyNumberFormat="1" applyFont="1" applyFill="1" applyBorder="1" applyAlignment="1">
      <alignment vertical="center"/>
    </xf>
    <xf numFmtId="10" fontId="31" fillId="0" borderId="21" xfId="2" applyNumberFormat="1" applyFont="1" applyFill="1" applyBorder="1" applyAlignment="1">
      <alignment horizontal="right" vertical="center"/>
    </xf>
    <xf numFmtId="167" fontId="17" fillId="0" borderId="24" xfId="1" applyNumberFormat="1" applyFont="1" applyFill="1" applyBorder="1" applyAlignment="1">
      <alignment vertical="center"/>
    </xf>
    <xf numFmtId="167" fontId="17" fillId="0" borderId="52" xfId="1" applyNumberFormat="1" applyFont="1" applyFill="1" applyBorder="1" applyAlignment="1">
      <alignment horizontal="left" vertical="center"/>
    </xf>
    <xf numFmtId="167" fontId="17" fillId="0" borderId="21" xfId="1" applyNumberFormat="1" applyFont="1" applyFill="1" applyBorder="1" applyAlignment="1">
      <alignment horizontal="right" vertical="center"/>
    </xf>
    <xf numFmtId="167" fontId="17" fillId="0" borderId="52" xfId="1" applyNumberFormat="1" applyFont="1" applyFill="1" applyBorder="1" applyAlignment="1">
      <alignment vertical="center"/>
    </xf>
    <xf numFmtId="167" fontId="17" fillId="0" borderId="53" xfId="1" applyNumberFormat="1" applyFont="1" applyFill="1" applyBorder="1" applyAlignment="1">
      <alignment horizontal="right" vertical="center"/>
    </xf>
    <xf numFmtId="167" fontId="31" fillId="0" borderId="50" xfId="1" applyNumberFormat="1" applyFont="1" applyFill="1" applyBorder="1" applyAlignment="1">
      <alignment vertical="center"/>
    </xf>
    <xf numFmtId="167" fontId="31" fillId="3" borderId="50" xfId="1" applyNumberFormat="1" applyFont="1" applyFill="1" applyBorder="1" applyAlignment="1">
      <alignment vertical="center"/>
    </xf>
    <xf numFmtId="166" fontId="35" fillId="0" borderId="59" xfId="1" applyNumberFormat="1" applyFont="1" applyFill="1" applyBorder="1" applyAlignment="1">
      <alignment horizontal="center" vertical="center" wrapText="1"/>
    </xf>
    <xf numFmtId="174" fontId="3" fillId="0" borderId="0" xfId="1" applyNumberFormat="1" applyFont="1"/>
    <xf numFmtId="0" fontId="6" fillId="0" borderId="0" xfId="0" applyFont="1" applyAlignment="1">
      <alignment horizontal="center" vertical="center" readingOrder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4" fontId="6" fillId="3" borderId="24" xfId="0" applyNumberFormat="1" applyFont="1" applyFill="1" applyBorder="1" applyAlignment="1">
      <alignment horizontal="center" vertical="center"/>
    </xf>
    <xf numFmtId="166" fontId="6" fillId="3" borderId="24" xfId="1" applyNumberFormat="1" applyFont="1" applyFill="1" applyBorder="1" applyAlignment="1">
      <alignment horizontal="center" vertical="center"/>
    </xf>
    <xf numFmtId="9" fontId="6" fillId="3" borderId="24" xfId="2" applyFont="1" applyFill="1" applyBorder="1" applyAlignment="1">
      <alignment horizontal="center" vertical="center"/>
    </xf>
    <xf numFmtId="0" fontId="6" fillId="3" borderId="24" xfId="2" applyNumberFormat="1" applyFont="1" applyFill="1" applyBorder="1" applyAlignment="1">
      <alignment horizontal="center" vertical="center"/>
    </xf>
    <xf numFmtId="1" fontId="6" fillId="3" borderId="24" xfId="2" applyNumberFormat="1" applyFont="1" applyFill="1" applyBorder="1" applyAlignment="1">
      <alignment horizontal="center" vertical="center"/>
    </xf>
    <xf numFmtId="164" fontId="6" fillId="3" borderId="24" xfId="1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vertical="center"/>
    </xf>
    <xf numFmtId="164" fontId="6" fillId="11" borderId="24" xfId="1" applyFont="1" applyFill="1" applyBorder="1" applyAlignment="1">
      <alignment horizontal="center" vertical="center"/>
    </xf>
    <xf numFmtId="9" fontId="6" fillId="11" borderId="24" xfId="2" applyFont="1" applyFill="1" applyBorder="1" applyAlignment="1">
      <alignment horizontal="center" vertical="center"/>
    </xf>
    <xf numFmtId="1" fontId="6" fillId="11" borderId="24" xfId="2" applyNumberFormat="1" applyFont="1" applyFill="1" applyBorder="1" applyAlignment="1">
      <alignment horizontal="center" vertical="center"/>
    </xf>
    <xf numFmtId="166" fontId="6" fillId="11" borderId="24" xfId="1" applyNumberFormat="1" applyFont="1" applyFill="1" applyBorder="1" applyAlignment="1">
      <alignment horizontal="center" vertical="center"/>
    </xf>
    <xf numFmtId="164" fontId="50" fillId="3" borderId="0" xfId="0" applyNumberFormat="1" applyFont="1" applyFill="1" applyAlignment="1">
      <alignment horizontal="center" vertical="center"/>
    </xf>
    <xf numFmtId="166" fontId="6" fillId="0" borderId="31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2" fillId="12" borderId="24" xfId="0" applyFont="1" applyFill="1" applyBorder="1" applyAlignment="1">
      <alignment horizontal="center" vertical="center" wrapText="1" readingOrder="1"/>
    </xf>
    <xf numFmtId="0" fontId="0" fillId="0" borderId="0" xfId="0" applyFont="1" applyAlignment="1"/>
    <xf numFmtId="164" fontId="4" fillId="4" borderId="24" xfId="1" applyNumberFormat="1" applyFont="1" applyFill="1" applyBorder="1" applyAlignment="1">
      <alignment vertical="center" readingOrder="1"/>
    </xf>
    <xf numFmtId="164" fontId="13" fillId="4" borderId="24" xfId="1" applyNumberFormat="1" applyFont="1" applyFill="1" applyBorder="1" applyAlignment="1">
      <alignment vertical="center" readingOrder="1"/>
    </xf>
    <xf numFmtId="0" fontId="4" fillId="0" borderId="16" xfId="0" applyFont="1" applyBorder="1" applyAlignment="1">
      <alignment horizontal="center" vertical="center" wrapText="1"/>
    </xf>
    <xf numFmtId="164" fontId="30" fillId="0" borderId="24" xfId="1" applyFont="1" applyFill="1" applyBorder="1" applyAlignment="1">
      <alignment horizontal="center" vertical="center" wrapText="1" readingOrder="1"/>
    </xf>
    <xf numFmtId="164" fontId="30" fillId="0" borderId="24" xfId="1" applyFont="1" applyFill="1" applyBorder="1" applyAlignment="1">
      <alignment horizontal="center" vertical="center" wrapText="1"/>
    </xf>
    <xf numFmtId="164" fontId="30" fillId="0" borderId="50" xfId="1" applyFont="1" applyFill="1" applyBorder="1" applyAlignment="1">
      <alignment vertical="center" wrapText="1" readingOrder="1"/>
    </xf>
    <xf numFmtId="164" fontId="30" fillId="0" borderId="24" xfId="1" applyFont="1" applyFill="1" applyBorder="1" applyAlignment="1">
      <alignment horizontal="right" vertical="center" wrapText="1" readingOrder="1"/>
    </xf>
    <xf numFmtId="175" fontId="37" fillId="0" borderId="17" xfId="0" applyNumberFormat="1" applyFont="1" applyBorder="1" applyAlignment="1">
      <alignment horizontal="center" vertical="center" wrapText="1" readingOrder="1"/>
    </xf>
    <xf numFmtId="169" fontId="31" fillId="3" borderId="50" xfId="1" applyNumberFormat="1" applyFont="1" applyFill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167" fontId="30" fillId="13" borderId="1" xfId="1" applyNumberFormat="1" applyFont="1" applyFill="1" applyBorder="1" applyAlignment="1">
      <alignment horizontal="center" vertical="center" wrapText="1" readingOrder="1"/>
    </xf>
    <xf numFmtId="164" fontId="30" fillId="0" borderId="1" xfId="1" applyFont="1" applyFill="1" applyBorder="1" applyAlignment="1">
      <alignment horizontal="center" vertical="center" wrapText="1" readingOrder="1"/>
    </xf>
    <xf numFmtId="164" fontId="32" fillId="3" borderId="15" xfId="1" applyNumberFormat="1" applyFont="1" applyFill="1" applyBorder="1" applyAlignment="1">
      <alignment vertical="center" readingOrder="1"/>
    </xf>
    <xf numFmtId="0" fontId="11" fillId="0" borderId="0" xfId="0" applyFont="1" applyAlignment="1">
      <alignment horizontal="center" vertical="center" wrapText="1"/>
    </xf>
    <xf numFmtId="1" fontId="6" fillId="0" borderId="32" xfId="2" applyNumberFormat="1" applyFont="1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166" fontId="4" fillId="0" borderId="16" xfId="0" applyNumberFormat="1" applyFont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/>
    </xf>
    <xf numFmtId="14" fontId="6" fillId="8" borderId="24" xfId="0" applyNumberFormat="1" applyFont="1" applyFill="1" applyBorder="1" applyAlignment="1">
      <alignment horizontal="center" vertical="center"/>
    </xf>
    <xf numFmtId="166" fontId="6" fillId="8" borderId="24" xfId="1" applyNumberFormat="1" applyFont="1" applyFill="1" applyBorder="1" applyAlignment="1">
      <alignment horizontal="center" vertical="center"/>
    </xf>
    <xf numFmtId="9" fontId="6" fillId="8" borderId="24" xfId="2" applyFont="1" applyFill="1" applyBorder="1" applyAlignment="1">
      <alignment horizontal="center" vertical="center"/>
    </xf>
    <xf numFmtId="0" fontId="6" fillId="8" borderId="24" xfId="2" applyNumberFormat="1" applyFont="1" applyFill="1" applyBorder="1" applyAlignment="1">
      <alignment horizontal="center" vertical="center"/>
    </xf>
    <xf numFmtId="1" fontId="6" fillId="8" borderId="24" xfId="2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0" fontId="6" fillId="8" borderId="24" xfId="1" applyNumberFormat="1" applyFont="1" applyFill="1" applyBorder="1" applyAlignment="1">
      <alignment horizontal="center" vertical="center"/>
    </xf>
    <xf numFmtId="166" fontId="6" fillId="0" borderId="24" xfId="1" applyNumberFormat="1" applyFont="1" applyFill="1" applyBorder="1" applyAlignment="1">
      <alignment horizontal="center" vertical="center"/>
    </xf>
    <xf numFmtId="166" fontId="51" fillId="7" borderId="24" xfId="1" applyNumberFormat="1" applyFont="1" applyFill="1" applyBorder="1" applyAlignment="1">
      <alignment horizontal="center" vertical="center"/>
    </xf>
    <xf numFmtId="166" fontId="28" fillId="3" borderId="24" xfId="1" applyNumberFormat="1" applyFont="1" applyFill="1" applyBorder="1" applyAlignment="1">
      <alignment horizontal="center" vertical="center"/>
    </xf>
    <xf numFmtId="164" fontId="51" fillId="7" borderId="24" xfId="1" applyNumberFormat="1" applyFont="1" applyFill="1" applyBorder="1" applyAlignment="1">
      <alignment horizontal="center" vertical="center"/>
    </xf>
    <xf numFmtId="164" fontId="6" fillId="8" borderId="24" xfId="1" applyNumberFormat="1" applyFont="1" applyFill="1" applyBorder="1" applyAlignment="1">
      <alignment horizontal="center" vertical="center"/>
    </xf>
    <xf numFmtId="167" fontId="6" fillId="0" borderId="24" xfId="1" applyNumberFormat="1" applyFont="1" applyFill="1" applyBorder="1" applyAlignment="1">
      <alignment horizontal="center" vertical="center"/>
    </xf>
    <xf numFmtId="9" fontId="6" fillId="0" borderId="24" xfId="2" applyFont="1" applyFill="1" applyBorder="1" applyAlignment="1">
      <alignment horizontal="center" vertical="center"/>
    </xf>
    <xf numFmtId="0" fontId="4" fillId="0" borderId="24" xfId="2" applyNumberFormat="1" applyFont="1" applyFill="1" applyBorder="1" applyAlignment="1">
      <alignment horizontal="center" vertical="center"/>
    </xf>
    <xf numFmtId="1" fontId="6" fillId="0" borderId="24" xfId="2" applyNumberFormat="1" applyFont="1" applyFill="1" applyBorder="1" applyAlignment="1">
      <alignment horizontal="center" vertical="center"/>
    </xf>
    <xf numFmtId="166" fontId="4" fillId="3" borderId="24" xfId="1" applyNumberFormat="1" applyFont="1" applyFill="1" applyBorder="1" applyAlignment="1">
      <alignment horizontal="center" vertical="center"/>
    </xf>
    <xf numFmtId="166" fontId="32" fillId="7" borderId="24" xfId="1" applyNumberFormat="1" applyFont="1" applyFill="1" applyBorder="1" applyAlignment="1">
      <alignment horizontal="center" vertical="center"/>
    </xf>
    <xf numFmtId="166" fontId="4" fillId="4" borderId="24" xfId="1" applyNumberFormat="1" applyFont="1" applyFill="1" applyBorder="1" applyAlignment="1">
      <alignment horizontal="center" vertical="center"/>
    </xf>
    <xf numFmtId="164" fontId="4" fillId="4" borderId="24" xfId="1" applyNumberFormat="1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/>
    <xf numFmtId="0" fontId="55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wrapText="1"/>
    </xf>
    <xf numFmtId="166" fontId="55" fillId="0" borderId="0" xfId="0" applyNumberFormat="1" applyFont="1" applyAlignment="1">
      <alignment horizontal="center" wrapText="1"/>
    </xf>
    <xf numFmtId="0" fontId="56" fillId="0" borderId="0" xfId="0" applyFont="1" applyAlignment="1">
      <alignment vertical="center" wrapText="1"/>
    </xf>
    <xf numFmtId="166" fontId="57" fillId="0" borderId="16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59" fillId="8" borderId="61" xfId="0" applyFont="1" applyFill="1" applyBorder="1" applyAlignment="1">
      <alignment horizontal="center" vertical="center"/>
    </xf>
    <xf numFmtId="14" fontId="59" fillId="8" borderId="62" xfId="0" applyNumberFormat="1" applyFont="1" applyFill="1" applyBorder="1" applyAlignment="1">
      <alignment horizontal="center" vertical="center"/>
    </xf>
    <xf numFmtId="166" fontId="59" fillId="8" borderId="62" xfId="1" applyNumberFormat="1" applyFont="1" applyFill="1" applyBorder="1" applyAlignment="1">
      <alignment horizontal="center" vertical="center"/>
    </xf>
    <xf numFmtId="9" fontId="59" fillId="8" borderId="62" xfId="2" applyFont="1" applyFill="1" applyBorder="1" applyAlignment="1">
      <alignment horizontal="center" vertical="center"/>
    </xf>
    <xf numFmtId="0" fontId="59" fillId="8" borderId="62" xfId="2" applyNumberFormat="1" applyFont="1" applyFill="1" applyBorder="1" applyAlignment="1">
      <alignment horizontal="center" vertical="center"/>
    </xf>
    <xf numFmtId="1" fontId="59" fillId="8" borderId="62" xfId="2" applyNumberFormat="1" applyFont="1" applyFill="1" applyBorder="1" applyAlignment="1">
      <alignment horizontal="center" vertical="center"/>
    </xf>
    <xf numFmtId="166" fontId="59" fillId="2" borderId="62" xfId="1" applyNumberFormat="1" applyFont="1" applyFill="1" applyBorder="1" applyAlignment="1">
      <alignment horizontal="center" vertical="center"/>
    </xf>
    <xf numFmtId="0" fontId="59" fillId="8" borderId="54" xfId="0" applyFont="1" applyFill="1" applyBorder="1" applyAlignment="1">
      <alignment horizontal="center" vertical="center"/>
    </xf>
    <xf numFmtId="14" fontId="59" fillId="8" borderId="24" xfId="0" applyNumberFormat="1" applyFont="1" applyFill="1" applyBorder="1" applyAlignment="1">
      <alignment horizontal="center" vertical="center"/>
    </xf>
    <xf numFmtId="166" fontId="59" fillId="8" borderId="24" xfId="1" applyNumberFormat="1" applyFont="1" applyFill="1" applyBorder="1" applyAlignment="1">
      <alignment horizontal="center" vertical="center"/>
    </xf>
    <xf numFmtId="9" fontId="59" fillId="8" borderId="24" xfId="2" applyFont="1" applyFill="1" applyBorder="1" applyAlignment="1">
      <alignment horizontal="center" vertical="center"/>
    </xf>
    <xf numFmtId="0" fontId="59" fillId="8" borderId="24" xfId="2" applyNumberFormat="1" applyFont="1" applyFill="1" applyBorder="1" applyAlignment="1">
      <alignment horizontal="center" vertical="center"/>
    </xf>
    <xf numFmtId="1" fontId="59" fillId="8" borderId="24" xfId="2" applyNumberFormat="1" applyFont="1" applyFill="1" applyBorder="1" applyAlignment="1">
      <alignment horizontal="center" vertical="center"/>
    </xf>
    <xf numFmtId="166" fontId="59" fillId="2" borderId="24" xfId="1" applyNumberFormat="1" applyFont="1" applyFill="1" applyBorder="1" applyAlignment="1">
      <alignment horizontal="center" vertical="center"/>
    </xf>
    <xf numFmtId="166" fontId="59" fillId="3" borderId="24" xfId="1" applyNumberFormat="1" applyFont="1" applyFill="1" applyBorder="1" applyAlignment="1">
      <alignment horizontal="center" vertical="center"/>
    </xf>
    <xf numFmtId="14" fontId="59" fillId="8" borderId="52" xfId="0" applyNumberFormat="1" applyFont="1" applyFill="1" applyBorder="1" applyAlignment="1">
      <alignment horizontal="center" vertical="center"/>
    </xf>
    <xf numFmtId="14" fontId="59" fillId="3" borderId="52" xfId="0" applyNumberFormat="1" applyFont="1" applyFill="1" applyBorder="1" applyAlignment="1">
      <alignment horizontal="center" vertical="center"/>
    </xf>
    <xf numFmtId="166" fontId="59" fillId="8" borderId="52" xfId="1" applyNumberFormat="1" applyFont="1" applyFill="1" applyBorder="1" applyAlignment="1">
      <alignment horizontal="center" vertical="center"/>
    </xf>
    <xf numFmtId="9" fontId="59" fillId="8" borderId="52" xfId="2" applyFont="1" applyFill="1" applyBorder="1" applyAlignment="1">
      <alignment horizontal="center" vertical="center"/>
    </xf>
    <xf numFmtId="1" fontId="59" fillId="8" borderId="52" xfId="2" applyNumberFormat="1" applyFont="1" applyFill="1" applyBorder="1" applyAlignment="1">
      <alignment horizontal="center" vertical="center"/>
    </xf>
    <xf numFmtId="166" fontId="59" fillId="3" borderId="52" xfId="1" applyNumberFormat="1" applyFont="1" applyFill="1" applyBorder="1" applyAlignment="1">
      <alignment horizontal="center" vertical="center"/>
    </xf>
    <xf numFmtId="166" fontId="59" fillId="2" borderId="52" xfId="1" applyNumberFormat="1" applyFont="1" applyFill="1" applyBorder="1" applyAlignment="1">
      <alignment horizontal="center" vertical="center"/>
    </xf>
    <xf numFmtId="0" fontId="59" fillId="8" borderId="24" xfId="1" applyNumberFormat="1" applyFont="1" applyFill="1" applyBorder="1" applyAlignment="1">
      <alignment horizontal="center" vertical="center"/>
    </xf>
    <xf numFmtId="0" fontId="59" fillId="8" borderId="62" xfId="1" applyNumberFormat="1" applyFont="1" applyFill="1" applyBorder="1" applyAlignment="1">
      <alignment horizontal="center" vertical="center"/>
    </xf>
    <xf numFmtId="166" fontId="59" fillId="0" borderId="24" xfId="1" applyNumberFormat="1" applyFont="1" applyFill="1" applyBorder="1" applyAlignment="1">
      <alignment horizontal="center" vertical="center"/>
    </xf>
    <xf numFmtId="166" fontId="59" fillId="7" borderId="24" xfId="1" applyNumberFormat="1" applyFont="1" applyFill="1" applyBorder="1" applyAlignment="1">
      <alignment horizontal="center" vertical="center"/>
    </xf>
    <xf numFmtId="0" fontId="59" fillId="8" borderId="52" xfId="1" applyNumberFormat="1" applyFont="1" applyFill="1" applyBorder="1" applyAlignment="1">
      <alignment horizontal="center" vertical="center"/>
    </xf>
    <xf numFmtId="166" fontId="59" fillId="0" borderId="52" xfId="1" applyNumberFormat="1" applyFont="1" applyFill="1" applyBorder="1" applyAlignment="1">
      <alignment horizontal="center" vertical="center"/>
    </xf>
    <xf numFmtId="166" fontId="59" fillId="0" borderId="62" xfId="1" applyNumberFormat="1" applyFont="1" applyFill="1" applyBorder="1" applyAlignment="1">
      <alignment horizontal="center" vertical="center"/>
    </xf>
    <xf numFmtId="14" fontId="59" fillId="8" borderId="58" xfId="0" applyNumberFormat="1" applyFont="1" applyFill="1" applyBorder="1" applyAlignment="1">
      <alignment horizontal="center" vertical="center"/>
    </xf>
    <xf numFmtId="166" fontId="59" fillId="8" borderId="58" xfId="1" applyNumberFormat="1" applyFont="1" applyFill="1" applyBorder="1" applyAlignment="1">
      <alignment horizontal="center" vertical="center"/>
    </xf>
    <xf numFmtId="9" fontId="59" fillId="8" borderId="58" xfId="2" applyFont="1" applyFill="1" applyBorder="1" applyAlignment="1">
      <alignment horizontal="center" vertical="center"/>
    </xf>
    <xf numFmtId="0" fontId="59" fillId="8" borderId="58" xfId="1" applyNumberFormat="1" applyFont="1" applyFill="1" applyBorder="1" applyAlignment="1">
      <alignment horizontal="center" vertical="center"/>
    </xf>
    <xf numFmtId="1" fontId="59" fillId="8" borderId="58" xfId="2" applyNumberFormat="1" applyFont="1" applyFill="1" applyBorder="1" applyAlignment="1">
      <alignment horizontal="center" vertical="center"/>
    </xf>
    <xf numFmtId="166" fontId="59" fillId="0" borderId="58" xfId="1" applyNumberFormat="1" applyFont="1" applyFill="1" applyBorder="1" applyAlignment="1">
      <alignment horizontal="center" vertical="center"/>
    </xf>
    <xf numFmtId="164" fontId="59" fillId="7" borderId="24" xfId="1" applyNumberFormat="1" applyFont="1" applyFill="1" applyBorder="1" applyAlignment="1">
      <alignment horizontal="center" vertical="center"/>
    </xf>
    <xf numFmtId="164" fontId="59" fillId="8" borderId="24" xfId="1" applyNumberFormat="1" applyFont="1" applyFill="1" applyBorder="1" applyAlignment="1">
      <alignment horizontal="center" vertical="center"/>
    </xf>
    <xf numFmtId="167" fontId="59" fillId="0" borderId="24" xfId="1" applyNumberFormat="1" applyFont="1" applyFill="1" applyBorder="1" applyAlignment="1">
      <alignment horizontal="center" vertical="center"/>
    </xf>
    <xf numFmtId="9" fontId="59" fillId="0" borderId="24" xfId="2" applyFont="1" applyFill="1" applyBorder="1" applyAlignment="1">
      <alignment horizontal="center" vertical="center"/>
    </xf>
    <xf numFmtId="0" fontId="57" fillId="0" borderId="24" xfId="2" applyNumberFormat="1" applyFont="1" applyFill="1" applyBorder="1" applyAlignment="1">
      <alignment horizontal="center" vertical="center"/>
    </xf>
    <xf numFmtId="1" fontId="59" fillId="0" borderId="24" xfId="2" applyNumberFormat="1" applyFont="1" applyFill="1" applyBorder="1" applyAlignment="1">
      <alignment horizontal="center" vertical="center"/>
    </xf>
    <xf numFmtId="166" fontId="57" fillId="3" borderId="24" xfId="1" applyNumberFormat="1" applyFont="1" applyFill="1" applyBorder="1" applyAlignment="1">
      <alignment horizontal="center" vertical="center"/>
    </xf>
    <xf numFmtId="164" fontId="57" fillId="7" borderId="24" xfId="1" applyNumberFormat="1" applyFont="1" applyFill="1" applyBorder="1" applyAlignment="1">
      <alignment horizontal="center" vertical="center"/>
    </xf>
    <xf numFmtId="166" fontId="57" fillId="4" borderId="24" xfId="1" applyNumberFormat="1" applyFont="1" applyFill="1" applyBorder="1" applyAlignment="1">
      <alignment horizontal="center" vertical="center"/>
    </xf>
    <xf numFmtId="164" fontId="57" fillId="4" borderId="24" xfId="1" applyNumberFormat="1" applyFont="1" applyFill="1" applyBorder="1" applyAlignment="1">
      <alignment horizontal="center" vertical="center"/>
    </xf>
    <xf numFmtId="166" fontId="51" fillId="2" borderId="5" xfId="1" applyNumberFormat="1" applyFont="1" applyFill="1" applyBorder="1" applyAlignment="1">
      <alignment horizontal="center" vertical="center"/>
    </xf>
    <xf numFmtId="164" fontId="60" fillId="3" borderId="0" xfId="0" applyNumberFormat="1" applyFont="1" applyFill="1" applyAlignment="1">
      <alignment horizontal="center" vertical="center"/>
    </xf>
    <xf numFmtId="166" fontId="6" fillId="0" borderId="28" xfId="1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4" fontId="6" fillId="4" borderId="32" xfId="0" applyNumberFormat="1" applyFont="1" applyFill="1" applyBorder="1" applyAlignment="1">
      <alignment horizontal="center" vertical="center"/>
    </xf>
    <xf numFmtId="14" fontId="6" fillId="4" borderId="29" xfId="0" applyNumberFormat="1" applyFont="1" applyFill="1" applyBorder="1" applyAlignment="1">
      <alignment horizontal="center" vertical="center"/>
    </xf>
    <xf numFmtId="166" fontId="6" fillId="4" borderId="29" xfId="1" applyNumberFormat="1" applyFont="1" applyFill="1" applyBorder="1" applyAlignment="1">
      <alignment horizontal="center" vertical="center"/>
    </xf>
    <xf numFmtId="9" fontId="6" fillId="4" borderId="29" xfId="2" applyFont="1" applyFill="1" applyBorder="1" applyAlignment="1">
      <alignment horizontal="center" vertical="center"/>
    </xf>
    <xf numFmtId="1" fontId="6" fillId="4" borderId="32" xfId="2" applyNumberFormat="1" applyFont="1" applyFill="1" applyBorder="1" applyAlignment="1">
      <alignment horizontal="center" vertical="center"/>
    </xf>
    <xf numFmtId="166" fontId="6" fillId="4" borderId="31" xfId="1" applyNumberFormat="1" applyFont="1" applyFill="1" applyBorder="1" applyAlignment="1">
      <alignment horizontal="center" vertical="center"/>
    </xf>
    <xf numFmtId="14" fontId="6" fillId="4" borderId="12" xfId="0" applyNumberFormat="1" applyFont="1" applyFill="1" applyBorder="1" applyAlignment="1">
      <alignment horizontal="center" vertical="center"/>
    </xf>
    <xf numFmtId="14" fontId="6" fillId="4" borderId="5" xfId="0" applyNumberFormat="1" applyFont="1" applyFill="1" applyBorder="1" applyAlignment="1">
      <alignment horizontal="center" vertical="center"/>
    </xf>
    <xf numFmtId="166" fontId="6" fillId="4" borderId="5" xfId="1" applyNumberFormat="1" applyFont="1" applyFill="1" applyBorder="1" applyAlignment="1">
      <alignment horizontal="center" vertical="center"/>
    </xf>
    <xf numFmtId="9" fontId="6" fillId="4" borderId="5" xfId="2" applyFont="1" applyFill="1" applyBorder="1" applyAlignment="1">
      <alignment horizontal="center" vertical="center"/>
    </xf>
    <xf numFmtId="166" fontId="6" fillId="4" borderId="4" xfId="1" applyNumberFormat="1" applyFont="1" applyFill="1" applyBorder="1" applyAlignment="1">
      <alignment horizontal="center" vertical="center"/>
    </xf>
    <xf numFmtId="166" fontId="51" fillId="0" borderId="31" xfId="1" applyNumberFormat="1" applyFont="1" applyFill="1" applyBorder="1" applyAlignment="1">
      <alignment horizontal="center" vertical="center"/>
    </xf>
    <xf numFmtId="166" fontId="51" fillId="0" borderId="0" xfId="1" applyNumberFormat="1" applyFont="1" applyFill="1" applyBorder="1" applyAlignment="1">
      <alignment horizontal="center" vertical="center"/>
    </xf>
    <xf numFmtId="166" fontId="4" fillId="0" borderId="15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167" fontId="30" fillId="14" borderId="1" xfId="1" applyNumberFormat="1" applyFont="1" applyFill="1" applyBorder="1" applyAlignment="1">
      <alignment horizontal="center" vertical="center" wrapText="1" readingOrder="1"/>
    </xf>
    <xf numFmtId="167" fontId="19" fillId="3" borderId="15" xfId="1" applyNumberFormat="1" applyFont="1" applyFill="1" applyBorder="1" applyAlignment="1">
      <alignment vertical="center" readingOrder="1"/>
    </xf>
    <xf numFmtId="167" fontId="57" fillId="7" borderId="24" xfId="1" applyNumberFormat="1" applyFont="1" applyFill="1" applyBorder="1" applyAlignment="1">
      <alignment horizontal="center" vertical="center"/>
    </xf>
    <xf numFmtId="164" fontId="6" fillId="8" borderId="32" xfId="1" applyNumberFormat="1" applyFont="1" applyFill="1" applyBorder="1" applyAlignment="1">
      <alignment horizontal="center" vertical="center"/>
    </xf>
    <xf numFmtId="164" fontId="51" fillId="0" borderId="15" xfId="1" applyNumberFormat="1" applyFont="1" applyFill="1" applyBorder="1" applyAlignment="1">
      <alignment horizontal="center" vertical="center"/>
    </xf>
    <xf numFmtId="172" fontId="23" fillId="2" borderId="2" xfId="4" applyNumberFormat="1" applyFont="1" applyFill="1" applyBorder="1" applyAlignment="1">
      <alignment horizontal="center" vertical="center" wrapText="1"/>
    </xf>
    <xf numFmtId="0" fontId="24" fillId="2" borderId="2" xfId="4" applyFont="1" applyFill="1" applyBorder="1" applyAlignment="1">
      <alignment horizontal="center" vertical="center"/>
    </xf>
    <xf numFmtId="165" fontId="23" fillId="3" borderId="1" xfId="6" applyFont="1" applyFill="1" applyBorder="1" applyAlignment="1">
      <alignment horizontal="center" vertical="center"/>
    </xf>
    <xf numFmtId="14" fontId="30" fillId="0" borderId="24" xfId="0" applyNumberFormat="1" applyFont="1" applyFill="1" applyBorder="1" applyAlignment="1">
      <alignment horizontal="center" vertical="center" wrapText="1" readingOrder="1"/>
    </xf>
    <xf numFmtId="0" fontId="52" fillId="12" borderId="60" xfId="0" applyFont="1" applyFill="1" applyBorder="1" applyAlignment="1">
      <alignment horizontal="center" vertical="center" wrapText="1" readingOrder="1"/>
    </xf>
    <xf numFmtId="0" fontId="30" fillId="0" borderId="61" xfId="0" applyFont="1" applyFill="1" applyBorder="1" applyAlignment="1">
      <alignment horizontal="center" vertical="center" wrapText="1" readingOrder="1"/>
    </xf>
    <xf numFmtId="0" fontId="30" fillId="0" borderId="62" xfId="0" applyFont="1" applyFill="1" applyBorder="1" applyAlignment="1">
      <alignment horizontal="left" vertical="center" wrapText="1" readingOrder="1"/>
    </xf>
    <xf numFmtId="0" fontId="30" fillId="0" borderId="62" xfId="0" applyFont="1" applyFill="1" applyBorder="1" applyAlignment="1">
      <alignment horizontal="center" vertical="center" wrapText="1" readingOrder="1"/>
    </xf>
    <xf numFmtId="166" fontId="30" fillId="0" borderId="62" xfId="1" applyNumberFormat="1" applyFont="1" applyFill="1" applyBorder="1" applyAlignment="1">
      <alignment horizontal="center" vertical="center" wrapText="1" readingOrder="1"/>
    </xf>
    <xf numFmtId="164" fontId="30" fillId="0" borderId="62" xfId="1" applyFont="1" applyFill="1" applyBorder="1" applyAlignment="1">
      <alignment horizontal="center" vertical="center" wrapText="1" readingOrder="1"/>
    </xf>
    <xf numFmtId="49" fontId="30" fillId="0" borderId="62" xfId="1" applyNumberFormat="1" applyFont="1" applyFill="1" applyBorder="1" applyAlignment="1">
      <alignment horizontal="center" vertical="center" wrapText="1" readingOrder="1"/>
    </xf>
    <xf numFmtId="164" fontId="30" fillId="0" borderId="66" xfId="1" applyNumberFormat="1" applyFont="1" applyFill="1" applyBorder="1" applyAlignment="1">
      <alignment horizontal="right" vertical="center" wrapText="1" readingOrder="1"/>
    </xf>
    <xf numFmtId="164" fontId="4" fillId="4" borderId="52" xfId="1" applyNumberFormat="1" applyFont="1" applyFill="1" applyBorder="1" applyAlignment="1">
      <alignment vertical="center" readingOrder="1"/>
    </xf>
    <xf numFmtId="166" fontId="40" fillId="0" borderId="1" xfId="1" applyNumberFormat="1" applyFont="1" applyFill="1" applyBorder="1" applyAlignment="1">
      <alignment horizontal="center" vertical="center"/>
    </xf>
    <xf numFmtId="0" fontId="62" fillId="0" borderId="58" xfId="0" applyFont="1" applyFill="1" applyBorder="1" applyAlignment="1">
      <alignment horizontal="center" vertical="center" wrapText="1" readingOrder="1"/>
    </xf>
    <xf numFmtId="0" fontId="62" fillId="0" borderId="1" xfId="0" applyFont="1" applyFill="1" applyBorder="1" applyAlignment="1">
      <alignment horizontal="center" vertical="center" wrapText="1" readingOrder="1"/>
    </xf>
    <xf numFmtId="164" fontId="4" fillId="4" borderId="67" xfId="1" applyNumberFormat="1" applyFont="1" applyFill="1" applyBorder="1" applyAlignment="1">
      <alignment vertical="center" readingOrder="1"/>
    </xf>
    <xf numFmtId="164" fontId="4" fillId="4" borderId="57" xfId="1" applyNumberFormat="1" applyFont="1" applyFill="1" applyBorder="1" applyAlignment="1">
      <alignment vertical="center" readingOrder="1"/>
    </xf>
    <xf numFmtId="164" fontId="4" fillId="4" borderId="55" xfId="1" applyNumberFormat="1" applyFont="1" applyFill="1" applyBorder="1" applyAlignment="1">
      <alignment vertical="center" readingOrder="1"/>
    </xf>
    <xf numFmtId="49" fontId="4" fillId="4" borderId="52" xfId="1" applyNumberFormat="1" applyFont="1" applyFill="1" applyBorder="1" applyAlignment="1">
      <alignment horizontal="center" vertical="center" readingOrder="1"/>
    </xf>
    <xf numFmtId="164" fontId="4" fillId="4" borderId="52" xfId="1" applyFont="1" applyFill="1" applyBorder="1" applyAlignment="1">
      <alignment horizontal="center" vertical="center" readingOrder="1"/>
    </xf>
    <xf numFmtId="167" fontId="35" fillId="9" borderId="10" xfId="1" applyNumberFormat="1" applyFont="1" applyFill="1" applyBorder="1" applyAlignment="1">
      <alignment horizontal="center" vertical="center" wrapText="1"/>
    </xf>
    <xf numFmtId="167" fontId="35" fillId="3" borderId="10" xfId="1" applyNumberFormat="1" applyFont="1" applyFill="1" applyBorder="1" applyAlignment="1">
      <alignment horizontal="center" vertical="center" wrapText="1"/>
    </xf>
    <xf numFmtId="167" fontId="35" fillId="4" borderId="20" xfId="1" applyNumberFormat="1" applyFont="1" applyFill="1" applyBorder="1" applyAlignment="1">
      <alignment horizontal="center" vertical="center" wrapText="1"/>
    </xf>
    <xf numFmtId="167" fontId="35" fillId="3" borderId="10" xfId="1" applyNumberFormat="1" applyFont="1" applyFill="1" applyBorder="1" applyAlignment="1">
      <alignment horizontal="center" vertical="center" wrapText="1"/>
    </xf>
    <xf numFmtId="167" fontId="35" fillId="9" borderId="10" xfId="1" applyNumberFormat="1" applyFont="1" applyFill="1" applyBorder="1" applyAlignment="1">
      <alignment horizontal="center" vertical="center" wrapText="1"/>
    </xf>
    <xf numFmtId="164" fontId="64" fillId="0" borderId="0" xfId="0" applyNumberFormat="1" applyFont="1"/>
    <xf numFmtId="164" fontId="39" fillId="3" borderId="2" xfId="1" applyNumberFormat="1" applyFont="1" applyFill="1" applyBorder="1" applyAlignment="1">
      <alignment horizontal="center" vertical="center"/>
    </xf>
    <xf numFmtId="0" fontId="3" fillId="0" borderId="0" xfId="0" applyFont="1"/>
    <xf numFmtId="166" fontId="4" fillId="7" borderId="24" xfId="1" applyNumberFormat="1" applyFont="1" applyFill="1" applyBorder="1" applyAlignment="1">
      <alignment horizontal="center" vertical="center"/>
    </xf>
    <xf numFmtId="0" fontId="30" fillId="0" borderId="64" xfId="0" applyFont="1" applyFill="1" applyBorder="1" applyAlignment="1">
      <alignment horizontal="center" vertical="center" wrapText="1" readingOrder="1"/>
    </xf>
    <xf numFmtId="166" fontId="30" fillId="0" borderId="60" xfId="1" applyNumberFormat="1" applyFont="1" applyFill="1" applyBorder="1" applyAlignment="1">
      <alignment horizontal="center" vertical="center" wrapText="1" readingOrder="1"/>
    </xf>
    <xf numFmtId="164" fontId="63" fillId="0" borderId="50" xfId="1" applyFont="1" applyFill="1" applyBorder="1" applyAlignment="1">
      <alignment vertical="center" wrapText="1" readingOrder="1"/>
    </xf>
    <xf numFmtId="167" fontId="35" fillId="3" borderId="10" xfId="1" applyNumberFormat="1" applyFont="1" applyFill="1" applyBorder="1" applyAlignment="1">
      <alignment horizontal="center" vertical="center" wrapText="1"/>
    </xf>
    <xf numFmtId="167" fontId="35" fillId="9" borderId="10" xfId="1" applyNumberFormat="1" applyFont="1" applyFill="1" applyBorder="1" applyAlignment="1">
      <alignment horizontal="center" vertical="center" wrapText="1"/>
    </xf>
    <xf numFmtId="164" fontId="4" fillId="6" borderId="52" xfId="1" applyNumberFormat="1" applyFont="1" applyFill="1" applyBorder="1" applyAlignment="1">
      <alignment vertical="center" readingOrder="1"/>
    </xf>
    <xf numFmtId="164" fontId="4" fillId="6" borderId="67" xfId="1" applyNumberFormat="1" applyFont="1" applyFill="1" applyBorder="1" applyAlignment="1">
      <alignment vertical="center" readingOrder="1"/>
    </xf>
    <xf numFmtId="164" fontId="4" fillId="6" borderId="57" xfId="1" applyNumberFormat="1" applyFont="1" applyFill="1" applyBorder="1" applyAlignment="1">
      <alignment vertical="center" readingOrder="1"/>
    </xf>
    <xf numFmtId="164" fontId="4" fillId="6" borderId="55" xfId="1" applyNumberFormat="1" applyFont="1" applyFill="1" applyBorder="1" applyAlignment="1">
      <alignment vertical="center" readingOrder="1"/>
    </xf>
    <xf numFmtId="49" fontId="4" fillId="6" borderId="52" xfId="1" applyNumberFormat="1" applyFont="1" applyFill="1" applyBorder="1" applyAlignment="1">
      <alignment horizontal="center" vertical="center" readingOrder="1"/>
    </xf>
    <xf numFmtId="164" fontId="4" fillId="6" borderId="52" xfId="1" applyFont="1" applyFill="1" applyBorder="1" applyAlignment="1">
      <alignment horizontal="center" vertical="center" readingOrder="1"/>
    </xf>
    <xf numFmtId="164" fontId="10" fillId="3" borderId="0" xfId="0" applyNumberFormat="1" applyFont="1" applyFill="1" applyAlignment="1">
      <alignment horizontal="center" vertical="center"/>
    </xf>
    <xf numFmtId="164" fontId="10" fillId="3" borderId="22" xfId="1" applyFont="1" applyFill="1" applyBorder="1" applyAlignment="1">
      <alignment vertical="center"/>
    </xf>
    <xf numFmtId="164" fontId="6" fillId="3" borderId="22" xfId="1" applyFont="1" applyFill="1" applyBorder="1" applyAlignment="1">
      <alignment vertical="center"/>
    </xf>
    <xf numFmtId="0" fontId="6" fillId="4" borderId="0" xfId="0" applyFont="1" applyFill="1" applyBorder="1" applyAlignment="1">
      <alignment horizontal="center" wrapText="1" readingOrder="1"/>
    </xf>
    <xf numFmtId="164" fontId="30" fillId="0" borderId="50" xfId="1" applyFont="1" applyFill="1" applyBorder="1" applyAlignment="1">
      <alignment horizontal="center" vertical="center" wrapText="1" readingOrder="1"/>
    </xf>
    <xf numFmtId="166" fontId="35" fillId="0" borderId="0" xfId="1" applyNumberFormat="1" applyFont="1" applyFill="1" applyBorder="1" applyAlignment="1">
      <alignment horizontal="center" vertical="center" wrapText="1"/>
    </xf>
    <xf numFmtId="167" fontId="35" fillId="9" borderId="0" xfId="1" applyNumberFormat="1" applyFont="1" applyFill="1" applyBorder="1" applyAlignment="1">
      <alignment horizontal="center" vertical="center" wrapText="1"/>
    </xf>
    <xf numFmtId="167" fontId="35" fillId="3" borderId="0" xfId="1" applyNumberFormat="1" applyFont="1" applyFill="1" applyBorder="1" applyAlignment="1">
      <alignment horizontal="center" vertical="center" wrapText="1"/>
    </xf>
    <xf numFmtId="167" fontId="35" fillId="4" borderId="0" xfId="1" applyNumberFormat="1" applyFont="1" applyFill="1" applyBorder="1" applyAlignment="1">
      <alignment horizontal="center" vertical="center" wrapText="1"/>
    </xf>
    <xf numFmtId="0" fontId="52" fillId="12" borderId="1" xfId="0" applyFont="1" applyFill="1" applyBorder="1" applyAlignment="1">
      <alignment horizontal="center" vertical="center" wrapText="1" readingOrder="1"/>
    </xf>
    <xf numFmtId="0" fontId="52" fillId="12" borderId="25" xfId="0" applyFont="1" applyFill="1" applyBorder="1" applyAlignment="1">
      <alignment horizontal="center" vertical="center" wrapText="1" readingOrder="1"/>
    </xf>
    <xf numFmtId="0" fontId="52" fillId="12" borderId="48" xfId="0" applyFont="1" applyFill="1" applyBorder="1" applyAlignment="1">
      <alignment horizontal="center" vertical="center" wrapText="1" readingOrder="1"/>
    </xf>
    <xf numFmtId="0" fontId="30" fillId="0" borderId="58" xfId="0" applyFont="1" applyFill="1" applyBorder="1" applyAlignment="1">
      <alignment horizontal="left" vertical="center" wrapText="1" readingOrder="1"/>
    </xf>
    <xf numFmtId="0" fontId="30" fillId="0" borderId="58" xfId="0" applyFont="1" applyFill="1" applyBorder="1" applyAlignment="1">
      <alignment horizontal="center" vertical="center" wrapText="1" readingOrder="1"/>
    </xf>
    <xf numFmtId="166" fontId="30" fillId="0" borderId="58" xfId="1" applyNumberFormat="1" applyFont="1" applyFill="1" applyBorder="1" applyAlignment="1">
      <alignment horizontal="center" vertical="center" wrapText="1" readingOrder="1"/>
    </xf>
    <xf numFmtId="14" fontId="30" fillId="0" borderId="58" xfId="0" applyNumberFormat="1" applyFont="1" applyFill="1" applyBorder="1" applyAlignment="1">
      <alignment horizontal="center" vertical="center" wrapText="1" readingOrder="1"/>
    </xf>
    <xf numFmtId="9" fontId="30" fillId="0" borderId="58" xfId="0" applyNumberFormat="1" applyFont="1" applyFill="1" applyBorder="1" applyAlignment="1">
      <alignment horizontal="center" vertical="center" wrapText="1" readingOrder="1"/>
    </xf>
    <xf numFmtId="49" fontId="30" fillId="0" borderId="58" xfId="1" applyNumberFormat="1" applyFont="1" applyFill="1" applyBorder="1" applyAlignment="1">
      <alignment horizontal="center" vertical="center" wrapText="1" readingOrder="1"/>
    </xf>
    <xf numFmtId="0" fontId="52" fillId="12" borderId="23" xfId="0" applyFont="1" applyFill="1" applyBorder="1" applyAlignment="1">
      <alignment horizontal="center" vertical="center" wrapText="1" readingOrder="1"/>
    </xf>
    <xf numFmtId="164" fontId="4" fillId="4" borderId="53" xfId="1" applyFont="1" applyFill="1" applyBorder="1" applyAlignment="1">
      <alignment horizontal="center" vertical="center" readingOrder="1"/>
    </xf>
    <xf numFmtId="164" fontId="4" fillId="4" borderId="53" xfId="1" applyNumberFormat="1" applyFont="1" applyFill="1" applyBorder="1" applyAlignment="1">
      <alignment vertical="center" readingOrder="1"/>
    </xf>
    <xf numFmtId="0" fontId="52" fillId="12" borderId="49" xfId="0" applyFont="1" applyFill="1" applyBorder="1" applyAlignment="1">
      <alignment horizontal="center" vertical="center" wrapText="1" readingOrder="1"/>
    </xf>
    <xf numFmtId="164" fontId="63" fillId="0" borderId="21" xfId="1" applyFont="1" applyFill="1" applyBorder="1" applyAlignment="1">
      <alignment horizontal="right" vertical="center" wrapText="1" readingOrder="1"/>
    </xf>
    <xf numFmtId="164" fontId="63" fillId="0" borderId="71" xfId="1" applyFont="1" applyFill="1" applyBorder="1" applyAlignment="1">
      <alignment horizontal="right" vertical="center" wrapText="1" readingOrder="1"/>
    </xf>
    <xf numFmtId="164" fontId="63" fillId="0" borderId="62" xfId="1" applyFont="1" applyFill="1" applyBorder="1" applyAlignment="1">
      <alignment horizontal="center" vertical="center" wrapText="1" readingOrder="1"/>
    </xf>
    <xf numFmtId="164" fontId="63" fillId="3" borderId="50" xfId="1" applyNumberFormat="1" applyFont="1" applyFill="1" applyBorder="1" applyAlignment="1">
      <alignment vertical="center" wrapText="1" readingOrder="1"/>
    </xf>
    <xf numFmtId="164" fontId="63" fillId="3" borderId="50" xfId="1" applyFont="1" applyFill="1" applyBorder="1" applyAlignment="1">
      <alignment vertical="center" wrapText="1" readingOrder="1"/>
    </xf>
    <xf numFmtId="164" fontId="63" fillId="0" borderId="50" xfId="1" applyNumberFormat="1" applyFont="1" applyFill="1" applyBorder="1" applyAlignment="1">
      <alignment vertical="center" wrapText="1" readingOrder="1"/>
    </xf>
    <xf numFmtId="164" fontId="0" fillId="3" borderId="0" xfId="0" applyNumberFormat="1" applyFont="1" applyFill="1" applyAlignment="1">
      <alignment vertical="center"/>
    </xf>
    <xf numFmtId="164" fontId="0" fillId="3" borderId="0" xfId="1" applyFont="1" applyFill="1" applyAlignment="1">
      <alignment vertical="center"/>
    </xf>
    <xf numFmtId="0" fontId="52" fillId="12" borderId="49" xfId="0" applyFont="1" applyFill="1" applyBorder="1" applyAlignment="1">
      <alignment horizontal="center" vertical="center" wrapText="1" readingOrder="1"/>
    </xf>
    <xf numFmtId="166" fontId="4" fillId="0" borderId="60" xfId="0" applyNumberFormat="1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/>
    </xf>
    <xf numFmtId="14" fontId="6" fillId="0" borderId="62" xfId="0" applyNumberFormat="1" applyFont="1" applyFill="1" applyBorder="1" applyAlignment="1">
      <alignment horizontal="center" vertical="center"/>
    </xf>
    <xf numFmtId="166" fontId="6" fillId="0" borderId="62" xfId="1" applyNumberFormat="1" applyFont="1" applyFill="1" applyBorder="1" applyAlignment="1">
      <alignment horizontal="center" vertical="center"/>
    </xf>
    <xf numFmtId="9" fontId="6" fillId="0" borderId="62" xfId="2" applyFont="1" applyFill="1" applyBorder="1" applyAlignment="1">
      <alignment horizontal="center" vertical="center"/>
    </xf>
    <xf numFmtId="1" fontId="6" fillId="0" borderId="62" xfId="2" applyNumberFormat="1" applyFont="1" applyFill="1" applyBorder="1" applyAlignment="1">
      <alignment horizontal="center" vertical="center"/>
    </xf>
    <xf numFmtId="0" fontId="6" fillId="0" borderId="62" xfId="2" applyNumberFormat="1" applyFont="1" applyFill="1" applyBorder="1" applyAlignment="1">
      <alignment horizontal="center" vertical="center"/>
    </xf>
    <xf numFmtId="164" fontId="6" fillId="0" borderId="62" xfId="1" applyFont="1" applyFill="1" applyBorder="1" applyAlignment="1">
      <alignment horizontal="center" vertical="center"/>
    </xf>
    <xf numFmtId="164" fontId="6" fillId="0" borderId="66" xfId="1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14" fontId="6" fillId="0" borderId="24" xfId="0" applyNumberFormat="1" applyFont="1" applyFill="1" applyBorder="1" applyAlignment="1">
      <alignment horizontal="center" vertical="center"/>
    </xf>
    <xf numFmtId="0" fontId="6" fillId="0" borderId="24" xfId="2" applyNumberFormat="1" applyFont="1" applyFill="1" applyBorder="1" applyAlignment="1">
      <alignment horizontal="center" vertical="center"/>
    </xf>
    <xf numFmtId="164" fontId="6" fillId="0" borderId="24" xfId="1" applyFont="1" applyFill="1" applyBorder="1" applyAlignment="1">
      <alignment horizontal="center" vertical="center"/>
    </xf>
    <xf numFmtId="164" fontId="6" fillId="0" borderId="21" xfId="1" applyFont="1" applyFill="1" applyBorder="1" applyAlignment="1">
      <alignment horizontal="center" vertical="center"/>
    </xf>
    <xf numFmtId="14" fontId="6" fillId="0" borderId="58" xfId="0" applyNumberFormat="1" applyFont="1" applyFill="1" applyBorder="1" applyAlignment="1">
      <alignment horizontal="center" vertical="center"/>
    </xf>
    <xf numFmtId="166" fontId="6" fillId="0" borderId="58" xfId="1" applyNumberFormat="1" applyFont="1" applyFill="1" applyBorder="1" applyAlignment="1">
      <alignment horizontal="center" vertical="center"/>
    </xf>
    <xf numFmtId="9" fontId="6" fillId="0" borderId="58" xfId="2" applyFont="1" applyFill="1" applyBorder="1" applyAlignment="1">
      <alignment horizontal="center" vertical="center"/>
    </xf>
    <xf numFmtId="1" fontId="6" fillId="0" borderId="58" xfId="2" applyNumberFormat="1" applyFont="1" applyFill="1" applyBorder="1" applyAlignment="1">
      <alignment horizontal="center" vertical="center"/>
    </xf>
    <xf numFmtId="0" fontId="6" fillId="0" borderId="58" xfId="2" applyNumberFormat="1" applyFont="1" applyFill="1" applyBorder="1" applyAlignment="1">
      <alignment horizontal="center" vertical="center"/>
    </xf>
    <xf numFmtId="164" fontId="6" fillId="0" borderId="58" xfId="1" applyFont="1" applyFill="1" applyBorder="1" applyAlignment="1">
      <alignment horizontal="center" vertical="center"/>
    </xf>
    <xf numFmtId="14" fontId="6" fillId="4" borderId="52" xfId="0" applyNumberFormat="1" applyFont="1" applyFill="1" applyBorder="1" applyAlignment="1">
      <alignment horizontal="center" vertical="center"/>
    </xf>
    <xf numFmtId="166" fontId="6" fillId="4" borderId="52" xfId="1" applyNumberFormat="1" applyFont="1" applyFill="1" applyBorder="1" applyAlignment="1">
      <alignment horizontal="center" vertical="center"/>
    </xf>
    <xf numFmtId="9" fontId="6" fillId="4" borderId="52" xfId="2" applyFont="1" applyFill="1" applyBorder="1" applyAlignment="1">
      <alignment horizontal="center" vertical="center"/>
    </xf>
    <xf numFmtId="1" fontId="6" fillId="4" borderId="52" xfId="2" applyNumberFormat="1" applyFont="1" applyFill="1" applyBorder="1" applyAlignment="1">
      <alignment horizontal="center" vertical="center"/>
    </xf>
    <xf numFmtId="0" fontId="6" fillId="4" borderId="52" xfId="2" applyNumberFormat="1" applyFont="1" applyFill="1" applyBorder="1" applyAlignment="1">
      <alignment horizontal="center" vertical="center"/>
    </xf>
    <xf numFmtId="164" fontId="6" fillId="4" borderId="52" xfId="1" applyFont="1" applyFill="1" applyBorder="1" applyAlignment="1">
      <alignment horizontal="center" vertical="center"/>
    </xf>
    <xf numFmtId="164" fontId="6" fillId="4" borderId="53" xfId="1" applyFont="1" applyFill="1" applyBorder="1" applyAlignment="1">
      <alignment horizontal="center" vertical="center"/>
    </xf>
    <xf numFmtId="14" fontId="6" fillId="4" borderId="24" xfId="0" applyNumberFormat="1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9" fontId="6" fillId="4" borderId="24" xfId="2" applyFont="1" applyFill="1" applyBorder="1" applyAlignment="1">
      <alignment horizontal="center" vertical="center"/>
    </xf>
    <xf numFmtId="1" fontId="6" fillId="4" borderId="24" xfId="2" applyNumberFormat="1" applyFont="1" applyFill="1" applyBorder="1" applyAlignment="1">
      <alignment horizontal="center" vertical="center"/>
    </xf>
    <xf numFmtId="0" fontId="6" fillId="4" borderId="24" xfId="2" applyNumberFormat="1" applyFont="1" applyFill="1" applyBorder="1" applyAlignment="1">
      <alignment horizontal="center" vertical="center"/>
    </xf>
    <xf numFmtId="164" fontId="6" fillId="4" borderId="24" xfId="1" applyFont="1" applyFill="1" applyBorder="1" applyAlignment="1">
      <alignment horizontal="center" vertical="center"/>
    </xf>
    <xf numFmtId="0" fontId="52" fillId="12" borderId="2" xfId="0" applyFont="1" applyFill="1" applyBorder="1" applyAlignment="1">
      <alignment horizontal="center" vertical="center" wrapText="1" readingOrder="1"/>
    </xf>
    <xf numFmtId="0" fontId="52" fillId="12" borderId="74" xfId="0" applyFont="1" applyFill="1" applyBorder="1" applyAlignment="1">
      <alignment horizontal="center" vertical="center" wrapText="1" readingOrder="1"/>
    </xf>
    <xf numFmtId="164" fontId="63" fillId="3" borderId="32" xfId="1" applyFont="1" applyFill="1" applyBorder="1" applyAlignment="1">
      <alignment horizontal="right" vertical="center" wrapText="1" readingOrder="1"/>
    </xf>
    <xf numFmtId="164" fontId="63" fillId="3" borderId="12" xfId="1" applyFont="1" applyFill="1" applyBorder="1" applyAlignment="1">
      <alignment horizontal="right" vertical="center" wrapText="1" readingOrder="1"/>
    </xf>
    <xf numFmtId="164" fontId="30" fillId="3" borderId="12" xfId="1" applyNumberFormat="1" applyFont="1" applyFill="1" applyBorder="1" applyAlignment="1">
      <alignment horizontal="right" vertical="center" wrapText="1" readingOrder="1"/>
    </xf>
    <xf numFmtId="164" fontId="30" fillId="0" borderId="12" xfId="1" applyNumberFormat="1" applyFont="1" applyFill="1" applyBorder="1" applyAlignment="1">
      <alignment horizontal="right" vertical="center" wrapText="1" readingOrder="1"/>
    </xf>
    <xf numFmtId="164" fontId="4" fillId="4" borderId="13" xfId="1" applyNumberFormat="1" applyFont="1" applyFill="1" applyBorder="1" applyAlignment="1">
      <alignment vertical="center" readingOrder="1"/>
    </xf>
    <xf numFmtId="164" fontId="30" fillId="0" borderId="66" xfId="1" applyFont="1" applyFill="1" applyBorder="1" applyAlignment="1">
      <alignment horizontal="center" vertical="center" wrapText="1" readingOrder="1"/>
    </xf>
    <xf numFmtId="164" fontId="30" fillId="0" borderId="21" xfId="1" applyFont="1" applyFill="1" applyBorder="1" applyAlignment="1">
      <alignment horizontal="right" vertical="center" wrapText="1" readingOrder="1"/>
    </xf>
    <xf numFmtId="164" fontId="30" fillId="0" borderId="21" xfId="1" applyFont="1" applyFill="1" applyBorder="1" applyAlignment="1">
      <alignment horizontal="center" vertical="center" wrapText="1" readingOrder="1"/>
    </xf>
    <xf numFmtId="164" fontId="30" fillId="0" borderId="21" xfId="1" applyNumberFormat="1" applyFont="1" applyFill="1" applyBorder="1" applyAlignment="1">
      <alignment horizontal="center" vertical="center" wrapText="1" readingOrder="1"/>
    </xf>
    <xf numFmtId="0" fontId="52" fillId="12" borderId="10" xfId="0" applyFont="1" applyFill="1" applyBorder="1" applyAlignment="1">
      <alignment horizontal="center" vertical="center" wrapText="1" readingOrder="1"/>
    </xf>
    <xf numFmtId="164" fontId="4" fillId="4" borderId="13" xfId="1" applyFont="1" applyFill="1" applyBorder="1" applyAlignment="1">
      <alignment horizontal="center" vertical="center" readingOrder="1"/>
    </xf>
    <xf numFmtId="164" fontId="30" fillId="0" borderId="71" xfId="1" applyFont="1" applyFill="1" applyBorder="1" applyAlignment="1">
      <alignment horizontal="center" vertical="center" wrapText="1" readingOrder="1"/>
    </xf>
    <xf numFmtId="164" fontId="63" fillId="0" borderId="24" xfId="1" applyFont="1" applyFill="1" applyBorder="1" applyAlignment="1">
      <alignment horizontal="center" vertical="center" wrapText="1" readingOrder="1"/>
    </xf>
    <xf numFmtId="164" fontId="63" fillId="0" borderId="24" xfId="1" applyFont="1" applyFill="1" applyBorder="1" applyAlignment="1">
      <alignment horizontal="right" vertical="center" wrapText="1" readingOrder="1"/>
    </xf>
    <xf numFmtId="164" fontId="63" fillId="0" borderId="24" xfId="1" applyNumberFormat="1" applyFont="1" applyFill="1" applyBorder="1" applyAlignment="1">
      <alignment horizontal="center" vertical="center" wrapText="1" readingOrder="1"/>
    </xf>
    <xf numFmtId="167" fontId="0" fillId="0" borderId="0" xfId="0" applyNumberFormat="1" applyFont="1" applyAlignment="1"/>
    <xf numFmtId="167" fontId="3" fillId="0" borderId="0" xfId="0" applyNumberFormat="1" applyFont="1"/>
    <xf numFmtId="167" fontId="3" fillId="0" borderId="0" xfId="1" applyNumberFormat="1" applyFont="1"/>
    <xf numFmtId="166" fontId="30" fillId="0" borderId="12" xfId="1" applyNumberFormat="1" applyFont="1" applyFill="1" applyBorder="1" applyAlignment="1">
      <alignment horizontal="right" vertical="center" wrapText="1" readingOrder="1"/>
    </xf>
    <xf numFmtId="164" fontId="63" fillId="0" borderId="32" xfId="1" applyFont="1" applyFill="1" applyBorder="1" applyAlignment="1">
      <alignment horizontal="right" vertical="center" wrapText="1" readingOrder="1"/>
    </xf>
    <xf numFmtId="164" fontId="63" fillId="0" borderId="12" xfId="1" applyFont="1" applyFill="1" applyBorder="1" applyAlignment="1">
      <alignment horizontal="right" vertical="center" wrapText="1" readingOrder="1"/>
    </xf>
    <xf numFmtId="0" fontId="4" fillId="0" borderId="60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/>
    </xf>
    <xf numFmtId="14" fontId="32" fillId="0" borderId="24" xfId="1" applyNumberFormat="1" applyFont="1" applyFill="1" applyBorder="1" applyAlignment="1">
      <alignment horizontal="center" vertical="center"/>
    </xf>
    <xf numFmtId="0" fontId="6" fillId="15" borderId="54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166" fontId="39" fillId="4" borderId="19" xfId="1" applyNumberFormat="1" applyFont="1" applyFill="1" applyBorder="1" applyAlignment="1">
      <alignment horizontal="center" vertical="center"/>
    </xf>
    <xf numFmtId="9" fontId="6" fillId="4" borderId="19" xfId="2" applyFont="1" applyFill="1" applyBorder="1" applyAlignment="1">
      <alignment horizontal="center" vertical="center"/>
    </xf>
    <xf numFmtId="166" fontId="39" fillId="4" borderId="30" xfId="1" applyNumberFormat="1" applyFont="1" applyFill="1" applyBorder="1" applyAlignment="1">
      <alignment horizontal="center" vertical="center"/>
    </xf>
    <xf numFmtId="166" fontId="39" fillId="4" borderId="16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6" fontId="39" fillId="4" borderId="1" xfId="1" applyNumberFormat="1" applyFont="1" applyFill="1" applyBorder="1" applyAlignment="1">
      <alignment horizontal="center" vertical="center"/>
    </xf>
    <xf numFmtId="9" fontId="6" fillId="4" borderId="1" xfId="2" applyFont="1" applyFill="1" applyBorder="1" applyAlignment="1">
      <alignment horizontal="center" vertical="center"/>
    </xf>
    <xf numFmtId="166" fontId="39" fillId="4" borderId="10" xfId="1" applyNumberFormat="1" applyFont="1" applyFill="1" applyBorder="1" applyAlignment="1">
      <alignment horizontal="center" vertical="center"/>
    </xf>
    <xf numFmtId="166" fontId="39" fillId="4" borderId="2" xfId="1" applyNumberFormat="1" applyFont="1" applyFill="1" applyBorder="1" applyAlignment="1">
      <alignment horizontal="center" vertical="center"/>
    </xf>
    <xf numFmtId="164" fontId="6" fillId="4" borderId="21" xfId="1" applyFont="1" applyFill="1" applyBorder="1" applyAlignment="1">
      <alignment horizontal="center" vertical="center"/>
    </xf>
    <xf numFmtId="0" fontId="52" fillId="12" borderId="49" xfId="0" applyFont="1" applyFill="1" applyBorder="1" applyAlignment="1">
      <alignment horizontal="center" vertical="center" wrapText="1" readingOrder="1"/>
    </xf>
    <xf numFmtId="177" fontId="63" fillId="0" borderId="24" xfId="1" applyNumberFormat="1" applyFont="1" applyFill="1" applyBorder="1" applyAlignment="1">
      <alignment vertical="center" wrapText="1" readingOrder="1"/>
    </xf>
    <xf numFmtId="164" fontId="63" fillId="0" borderId="24" xfId="1" applyFont="1" applyFill="1" applyBorder="1" applyAlignment="1">
      <alignment vertical="center" wrapText="1" readingOrder="1"/>
    </xf>
    <xf numFmtId="164" fontId="30" fillId="0" borderId="58" xfId="1" applyFont="1" applyFill="1" applyBorder="1" applyAlignment="1">
      <alignment horizontal="center" vertical="center" wrapText="1" readingOrder="1"/>
    </xf>
    <xf numFmtId="164" fontId="63" fillId="0" borderId="58" xfId="1" applyFont="1" applyFill="1" applyBorder="1" applyAlignment="1">
      <alignment horizontal="center" vertical="center" wrapText="1" readingOrder="1"/>
    </xf>
    <xf numFmtId="0" fontId="30" fillId="0" borderId="72" xfId="0" applyFont="1" applyFill="1" applyBorder="1" applyAlignment="1">
      <alignment horizontal="center" vertical="center" wrapText="1" readingOrder="1"/>
    </xf>
    <xf numFmtId="0" fontId="30" fillId="0" borderId="60" xfId="0" applyFont="1" applyFill="1" applyBorder="1" applyAlignment="1">
      <alignment horizontal="left" vertical="center" wrapText="1"/>
    </xf>
    <xf numFmtId="0" fontId="30" fillId="0" borderId="60" xfId="0" applyFont="1" applyFill="1" applyBorder="1" applyAlignment="1">
      <alignment horizontal="center" vertical="center" wrapText="1"/>
    </xf>
    <xf numFmtId="168" fontId="30" fillId="0" borderId="60" xfId="1" applyNumberFormat="1" applyFont="1" applyFill="1" applyBorder="1" applyAlignment="1">
      <alignment horizontal="center" vertical="center" readingOrder="1"/>
    </xf>
    <xf numFmtId="0" fontId="30" fillId="0" borderId="60" xfId="1" applyNumberFormat="1" applyFont="1" applyFill="1" applyBorder="1" applyAlignment="1">
      <alignment horizontal="center" vertical="center"/>
    </xf>
    <xf numFmtId="164" fontId="30" fillId="0" borderId="60" xfId="1" applyFont="1" applyFill="1" applyBorder="1" applyAlignment="1">
      <alignment horizontal="center" vertical="center" wrapText="1"/>
    </xf>
    <xf numFmtId="164" fontId="30" fillId="0" borderId="60" xfId="1" applyFont="1" applyFill="1" applyBorder="1" applyAlignment="1">
      <alignment horizontal="center" vertical="center" wrapText="1" readingOrder="1"/>
    </xf>
    <xf numFmtId="164" fontId="63" fillId="0" borderId="60" xfId="1" applyNumberFormat="1" applyFont="1" applyFill="1" applyBorder="1" applyAlignment="1">
      <alignment vertical="center" wrapText="1" readingOrder="1"/>
    </xf>
    <xf numFmtId="164" fontId="63" fillId="0" borderId="60" xfId="1" applyFont="1" applyFill="1" applyBorder="1" applyAlignment="1">
      <alignment horizontal="center" vertical="center" wrapText="1" readingOrder="1"/>
    </xf>
    <xf numFmtId="164" fontId="30" fillId="0" borderId="75" xfId="1" applyFont="1" applyFill="1" applyBorder="1" applyAlignment="1">
      <alignment horizontal="center" vertical="center" wrapText="1" readingOrder="1"/>
    </xf>
    <xf numFmtId="164" fontId="4" fillId="4" borderId="48" xfId="1" applyNumberFormat="1" applyFont="1" applyFill="1" applyBorder="1" applyAlignment="1">
      <alignment vertical="center" readingOrder="1"/>
    </xf>
    <xf numFmtId="164" fontId="4" fillId="4" borderId="49" xfId="1" applyNumberFormat="1" applyFont="1" applyFill="1" applyBorder="1" applyAlignment="1">
      <alignment vertical="center" readingOrder="1"/>
    </xf>
    <xf numFmtId="164" fontId="4" fillId="4" borderId="7" xfId="1" applyNumberFormat="1" applyFont="1" applyFill="1" applyBorder="1" applyAlignment="1">
      <alignment vertical="center" readingOrder="1"/>
    </xf>
    <xf numFmtId="164" fontId="4" fillId="4" borderId="70" xfId="1" applyNumberFormat="1" applyFont="1" applyFill="1" applyBorder="1" applyAlignment="1">
      <alignment vertical="center" readingOrder="1"/>
    </xf>
    <xf numFmtId="164" fontId="4" fillId="4" borderId="74" xfId="1" applyNumberFormat="1" applyFont="1" applyFill="1" applyBorder="1" applyAlignment="1">
      <alignment vertical="center" readingOrder="1"/>
    </xf>
    <xf numFmtId="43" fontId="63" fillId="0" borderId="24" xfId="1" applyNumberFormat="1" applyFont="1" applyFill="1" applyBorder="1" applyAlignment="1">
      <alignment vertical="center" wrapText="1" readingOrder="1"/>
    </xf>
    <xf numFmtId="0" fontId="24" fillId="3" borderId="1" xfId="4" applyFont="1" applyFill="1" applyBorder="1" applyAlignment="1">
      <alignment horizontal="center" vertical="center"/>
    </xf>
    <xf numFmtId="0" fontId="21" fillId="3" borderId="34" xfId="4" applyFont="1" applyFill="1" applyBorder="1" applyAlignment="1">
      <alignment horizontal="center" vertical="center"/>
    </xf>
    <xf numFmtId="172" fontId="21" fillId="3" borderId="35" xfId="4" applyNumberFormat="1" applyFont="1" applyFill="1" applyBorder="1" applyAlignment="1">
      <alignment horizontal="center" vertical="center"/>
    </xf>
    <xf numFmtId="172" fontId="21" fillId="3" borderId="36" xfId="4" applyNumberFormat="1" applyFont="1" applyFill="1" applyBorder="1" applyAlignment="1">
      <alignment horizontal="center" vertical="center"/>
    </xf>
    <xf numFmtId="164" fontId="21" fillId="3" borderId="34" xfId="1" applyFont="1" applyFill="1" applyBorder="1" applyAlignment="1">
      <alignment horizontal="center" vertical="center"/>
    </xf>
    <xf numFmtId="172" fontId="21" fillId="3" borderId="37" xfId="4" applyNumberFormat="1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/>
    </xf>
    <xf numFmtId="165" fontId="24" fillId="0" borderId="7" xfId="6" applyFont="1" applyFill="1" applyBorder="1" applyAlignment="1">
      <alignment horizontal="center" vertical="center"/>
    </xf>
    <xf numFmtId="172" fontId="24" fillId="0" borderId="1" xfId="4" applyNumberFormat="1" applyFont="1" applyFill="1" applyBorder="1" applyAlignment="1">
      <alignment horizontal="center" vertical="center"/>
    </xf>
    <xf numFmtId="172" fontId="24" fillId="0" borderId="10" xfId="4" applyNumberFormat="1" applyFont="1" applyFill="1" applyBorder="1" applyAlignment="1">
      <alignment horizontal="center" vertical="center"/>
    </xf>
    <xf numFmtId="165" fontId="23" fillId="3" borderId="14" xfId="6" applyNumberFormat="1" applyFont="1" applyFill="1" applyBorder="1" applyAlignment="1">
      <alignment horizontal="center" vertical="center"/>
    </xf>
    <xf numFmtId="164" fontId="30" fillId="13" borderId="1" xfId="1" applyFont="1" applyFill="1" applyBorder="1" applyAlignment="1">
      <alignment horizontal="center" vertical="center" wrapText="1" readingOrder="1"/>
    </xf>
    <xf numFmtId="0" fontId="4" fillId="0" borderId="60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/>
    </xf>
    <xf numFmtId="0" fontId="30" fillId="0" borderId="58" xfId="0" applyFont="1" applyFill="1" applyBorder="1" applyAlignment="1">
      <alignment horizontal="center" vertical="center" wrapText="1" readingOrder="1"/>
    </xf>
    <xf numFmtId="164" fontId="0" fillId="0" borderId="0" xfId="0" applyNumberFormat="1" applyFont="1" applyAlignment="1"/>
    <xf numFmtId="164" fontId="68" fillId="0" borderId="0" xfId="0" applyNumberFormat="1" applyFont="1" applyAlignment="1"/>
    <xf numFmtId="167" fontId="68" fillId="0" borderId="0" xfId="0" applyNumberFormat="1" applyFont="1" applyAlignment="1"/>
    <xf numFmtId="0" fontId="30" fillId="0" borderId="58" xfId="0" applyFont="1" applyFill="1" applyBorder="1" applyAlignment="1">
      <alignment horizontal="center" vertical="center" wrapText="1" readingOrder="1"/>
    </xf>
    <xf numFmtId="164" fontId="44" fillId="0" borderId="0" xfId="0" applyNumberFormat="1" applyFont="1" applyAlignment="1">
      <alignment vertical="center"/>
    </xf>
    <xf numFmtId="164" fontId="30" fillId="0" borderId="76" xfId="1" applyNumberFormat="1" applyFont="1" applyFill="1" applyBorder="1" applyAlignment="1">
      <alignment vertical="center" wrapText="1" readingOrder="1"/>
    </xf>
    <xf numFmtId="166" fontId="30" fillId="0" borderId="33" xfId="1" applyNumberFormat="1" applyFont="1" applyFill="1" applyBorder="1" applyAlignment="1">
      <alignment horizontal="right" vertical="center" wrapText="1" readingOrder="1"/>
    </xf>
    <xf numFmtId="0" fontId="69" fillId="12" borderId="48" xfId="0" applyFont="1" applyFill="1" applyBorder="1" applyAlignment="1">
      <alignment horizontal="center" vertical="center" wrapText="1" readingOrder="1"/>
    </xf>
    <xf numFmtId="164" fontId="68" fillId="3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0" fontId="30" fillId="0" borderId="58" xfId="0" applyFont="1" applyFill="1" applyBorder="1" applyAlignment="1">
      <alignment horizontal="center" vertical="center" wrapText="1" readingOrder="1"/>
    </xf>
    <xf numFmtId="0" fontId="6" fillId="4" borderId="0" xfId="0" applyFont="1" applyFill="1" applyBorder="1" applyAlignment="1">
      <alignment horizontal="center" wrapText="1" readingOrder="1"/>
    </xf>
    <xf numFmtId="167" fontId="35" fillId="3" borderId="10" xfId="1" applyNumberFormat="1" applyFont="1" applyFill="1" applyBorder="1" applyAlignment="1">
      <alignment horizontal="center" vertical="center" wrapText="1"/>
    </xf>
    <xf numFmtId="9" fontId="30" fillId="0" borderId="50" xfId="0" applyNumberFormat="1" applyFont="1" applyFill="1" applyBorder="1" applyAlignment="1">
      <alignment horizontal="center" vertical="center" wrapText="1" readingOrder="1"/>
    </xf>
    <xf numFmtId="169" fontId="15" fillId="3" borderId="14" xfId="1" applyNumberFormat="1" applyFont="1" applyFill="1" applyBorder="1" applyAlignment="1">
      <alignment horizontal="center" vertical="center" readingOrder="1"/>
    </xf>
    <xf numFmtId="0" fontId="30" fillId="0" borderId="68" xfId="0" applyFont="1" applyFill="1" applyBorder="1" applyAlignment="1">
      <alignment horizontal="center" vertical="center" wrapText="1" readingOrder="1"/>
    </xf>
    <xf numFmtId="2" fontId="30" fillId="0" borderId="50" xfId="0" applyNumberFormat="1" applyFont="1" applyFill="1" applyBorder="1" applyAlignment="1">
      <alignment horizontal="center" vertical="center"/>
    </xf>
    <xf numFmtId="4" fontId="30" fillId="0" borderId="50" xfId="0" applyNumberFormat="1" applyFont="1" applyFill="1" applyBorder="1" applyAlignment="1">
      <alignment horizontal="center" vertical="center" wrapText="1"/>
    </xf>
    <xf numFmtId="167" fontId="35" fillId="9" borderId="10" xfId="1" applyNumberFormat="1" applyFont="1" applyFill="1" applyBorder="1" applyAlignment="1">
      <alignment horizontal="center" vertical="center" wrapText="1"/>
    </xf>
    <xf numFmtId="0" fontId="52" fillId="12" borderId="49" xfId="0" applyFont="1" applyFill="1" applyBorder="1" applyAlignment="1">
      <alignment horizontal="center" vertical="center" wrapText="1" readingOrder="1"/>
    </xf>
    <xf numFmtId="0" fontId="30" fillId="0" borderId="58" xfId="0" applyFont="1" applyFill="1" applyBorder="1" applyAlignment="1">
      <alignment horizontal="center" vertical="center" wrapText="1" readingOrder="1"/>
    </xf>
    <xf numFmtId="14" fontId="30" fillId="0" borderId="24" xfId="1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vertical="center" wrapText="1" readingOrder="1"/>
    </xf>
    <xf numFmtId="0" fontId="6" fillId="4" borderId="22" xfId="0" applyFont="1" applyFill="1" applyBorder="1" applyAlignment="1">
      <alignment vertical="center" wrapText="1" readingOrder="1"/>
    </xf>
    <xf numFmtId="0" fontId="6" fillId="4" borderId="17" xfId="0" applyFont="1" applyFill="1" applyBorder="1" applyAlignment="1">
      <alignment vertical="center" wrapText="1" readingOrder="1"/>
    </xf>
    <xf numFmtId="0" fontId="6" fillId="4" borderId="14" xfId="0" applyFont="1" applyFill="1" applyBorder="1" applyAlignment="1">
      <alignment vertical="center" wrapText="1" readingOrder="1"/>
    </xf>
    <xf numFmtId="0" fontId="6" fillId="4" borderId="18" xfId="0" applyFont="1" applyFill="1" applyBorder="1" applyAlignment="1">
      <alignment vertical="center" wrapText="1" readingOrder="1"/>
    </xf>
    <xf numFmtId="0" fontId="6" fillId="4" borderId="20" xfId="0" applyFont="1" applyFill="1" applyBorder="1" applyAlignment="1">
      <alignment vertical="center" wrapText="1" readingOrder="1"/>
    </xf>
    <xf numFmtId="4" fontId="30" fillId="0" borderId="68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14" fontId="3" fillId="0" borderId="0" xfId="0" applyNumberFormat="1" applyFont="1"/>
    <xf numFmtId="0" fontId="3" fillId="0" borderId="0" xfId="0" applyNumberFormat="1" applyFont="1"/>
    <xf numFmtId="49" fontId="30" fillId="0" borderId="75" xfId="1" applyNumberFormat="1" applyFont="1" applyFill="1" applyBorder="1" applyAlignment="1">
      <alignment horizontal="center" vertical="center" wrapText="1" readingOrder="1"/>
    </xf>
    <xf numFmtId="164" fontId="4" fillId="3" borderId="52" xfId="1" applyNumberFormat="1" applyFont="1" applyFill="1" applyBorder="1" applyAlignment="1">
      <alignment vertical="center" readingOrder="1"/>
    </xf>
    <xf numFmtId="164" fontId="4" fillId="3" borderId="67" xfId="1" applyNumberFormat="1" applyFont="1" applyFill="1" applyBorder="1" applyAlignment="1">
      <alignment vertical="center" readingOrder="1"/>
    </xf>
    <xf numFmtId="164" fontId="4" fillId="3" borderId="57" xfId="1" applyNumberFormat="1" applyFont="1" applyFill="1" applyBorder="1" applyAlignment="1">
      <alignment vertical="center" readingOrder="1"/>
    </xf>
    <xf numFmtId="164" fontId="4" fillId="3" borderId="53" xfId="1" applyNumberFormat="1" applyFont="1" applyFill="1" applyBorder="1" applyAlignment="1">
      <alignment vertical="center" readingOrder="1"/>
    </xf>
    <xf numFmtId="0" fontId="61" fillId="0" borderId="23" xfId="0" applyFont="1" applyBorder="1" applyAlignment="1">
      <alignment horizontal="center" vertical="center" wrapText="1"/>
    </xf>
    <xf numFmtId="0" fontId="45" fillId="0" borderId="0" xfId="0" applyFont="1"/>
    <xf numFmtId="9" fontId="30" fillId="0" borderId="50" xfId="0" applyNumberFormat="1" applyFont="1" applyFill="1" applyBorder="1" applyAlignment="1">
      <alignment horizontal="center" vertical="center" wrapText="1" readingOrder="1"/>
    </xf>
    <xf numFmtId="9" fontId="30" fillId="0" borderId="50" xfId="0" applyNumberFormat="1" applyFont="1" applyFill="1" applyBorder="1" applyAlignment="1">
      <alignment horizontal="center" vertical="center" wrapText="1" readingOrder="1"/>
    </xf>
    <xf numFmtId="0" fontId="29" fillId="0" borderId="0" xfId="0" applyFont="1" applyBorder="1" applyAlignment="1">
      <alignment horizontal="center" vertical="center"/>
    </xf>
    <xf numFmtId="49" fontId="70" fillId="0" borderId="21" xfId="1" applyNumberFormat="1" applyFont="1" applyFill="1" applyBorder="1" applyAlignment="1">
      <alignment horizontal="center" vertical="center" wrapText="1" readingOrder="1"/>
    </xf>
    <xf numFmtId="164" fontId="4" fillId="3" borderId="53" xfId="1" applyFont="1" applyFill="1" applyBorder="1" applyAlignment="1">
      <alignment vertical="center" readingOrder="1"/>
    </xf>
    <xf numFmtId="9" fontId="68" fillId="0" borderId="0" xfId="0" applyNumberFormat="1" applyFont="1" applyAlignment="1"/>
    <xf numFmtId="164" fontId="38" fillId="0" borderId="58" xfId="1" applyFont="1" applyFill="1" applyBorder="1" applyAlignment="1">
      <alignment horizontal="center" vertical="center" wrapText="1" readingOrder="1"/>
    </xf>
    <xf numFmtId="164" fontId="38" fillId="0" borderId="71" xfId="1" applyFont="1" applyFill="1" applyBorder="1" applyAlignment="1">
      <alignment horizontal="center" vertical="center" wrapText="1" readingOrder="1"/>
    </xf>
    <xf numFmtId="164" fontId="38" fillId="0" borderId="24" xfId="1" applyFont="1" applyFill="1" applyBorder="1" applyAlignment="1">
      <alignment horizontal="center" vertical="center" wrapText="1" readingOrder="1"/>
    </xf>
    <xf numFmtId="164" fontId="38" fillId="0" borderId="21" xfId="1" applyFont="1" applyFill="1" applyBorder="1" applyAlignment="1">
      <alignment horizontal="right" vertical="center" wrapText="1" readingOrder="1"/>
    </xf>
    <xf numFmtId="49" fontId="38" fillId="0" borderId="24" xfId="1" applyNumberFormat="1" applyFont="1" applyFill="1" applyBorder="1" applyAlignment="1">
      <alignment horizontal="center" vertical="center" wrapText="1" readingOrder="1"/>
    </xf>
    <xf numFmtId="164" fontId="38" fillId="0" borderId="21" xfId="1" applyFont="1" applyFill="1" applyBorder="1" applyAlignment="1">
      <alignment horizontal="center" vertical="center" wrapText="1" readingOrder="1"/>
    </xf>
    <xf numFmtId="164" fontId="38" fillId="0" borderId="75" xfId="1" applyFont="1" applyFill="1" applyBorder="1" applyAlignment="1">
      <alignment horizontal="center" vertical="center" wrapText="1" readingOrder="1"/>
    </xf>
    <xf numFmtId="164" fontId="4" fillId="3" borderId="48" xfId="1" applyNumberFormat="1" applyFont="1" applyFill="1" applyBorder="1" applyAlignment="1">
      <alignment vertical="center" readingOrder="1"/>
    </xf>
    <xf numFmtId="164" fontId="4" fillId="3" borderId="49" xfId="1" applyNumberFormat="1" applyFont="1" applyFill="1" applyBorder="1" applyAlignment="1">
      <alignment vertical="center" readingOrder="1"/>
    </xf>
    <xf numFmtId="164" fontId="4" fillId="3" borderId="7" xfId="1" applyNumberFormat="1" applyFont="1" applyFill="1" applyBorder="1" applyAlignment="1">
      <alignment vertical="center" readingOrder="1"/>
    </xf>
    <xf numFmtId="164" fontId="4" fillId="3" borderId="70" xfId="1" applyNumberFormat="1" applyFont="1" applyFill="1" applyBorder="1" applyAlignment="1">
      <alignment vertical="center" readingOrder="1"/>
    </xf>
    <xf numFmtId="164" fontId="52" fillId="12" borderId="48" xfId="1" applyFont="1" applyFill="1" applyBorder="1" applyAlignment="1">
      <alignment horizontal="center" vertical="center" wrapText="1" readingOrder="1"/>
    </xf>
    <xf numFmtId="164" fontId="72" fillId="3" borderId="0" xfId="0" applyNumberFormat="1" applyFont="1" applyFill="1" applyAlignment="1">
      <alignment horizontal="center" vertical="center"/>
    </xf>
    <xf numFmtId="164" fontId="72" fillId="3" borderId="0" xfId="0" applyNumberFormat="1" applyFont="1" applyFill="1"/>
    <xf numFmtId="166" fontId="30" fillId="0" borderId="66" xfId="1" applyNumberFormat="1" applyFont="1" applyFill="1" applyBorder="1" applyAlignment="1">
      <alignment horizontal="center" vertical="center" wrapText="1" readingOrder="1"/>
    </xf>
    <xf numFmtId="166" fontId="30" fillId="0" borderId="50" xfId="1" applyNumberFormat="1" applyFont="1" applyFill="1" applyBorder="1" applyAlignment="1">
      <alignment horizontal="center" vertical="center" wrapText="1" readingOrder="1"/>
    </xf>
    <xf numFmtId="166" fontId="30" fillId="0" borderId="50" xfId="1" applyNumberFormat="1" applyFont="1" applyFill="1" applyBorder="1" applyAlignment="1">
      <alignment vertical="center" wrapText="1" readingOrder="1"/>
    </xf>
    <xf numFmtId="166" fontId="30" fillId="0" borderId="24" xfId="1" applyNumberFormat="1" applyFont="1" applyFill="1" applyBorder="1" applyAlignment="1">
      <alignment horizontal="right" vertical="center" wrapText="1" readingOrder="1"/>
    </xf>
    <xf numFmtId="166" fontId="30" fillId="0" borderId="21" xfId="1" applyNumberFormat="1" applyFont="1" applyFill="1" applyBorder="1" applyAlignment="1">
      <alignment horizontal="right" vertical="center" wrapText="1" readingOrder="1"/>
    </xf>
    <xf numFmtId="166" fontId="30" fillId="0" borderId="24" xfId="1" applyNumberFormat="1" applyFont="1" applyFill="1" applyBorder="1" applyAlignment="1">
      <alignment horizontal="center" vertical="center"/>
    </xf>
    <xf numFmtId="166" fontId="30" fillId="0" borderId="21" xfId="1" applyNumberFormat="1" applyFont="1" applyFill="1" applyBorder="1" applyAlignment="1">
      <alignment horizontal="center" vertical="center" wrapText="1" readingOrder="1"/>
    </xf>
    <xf numFmtId="166" fontId="30" fillId="0" borderId="24" xfId="1" applyNumberFormat="1" applyFont="1" applyFill="1" applyBorder="1" applyAlignment="1">
      <alignment horizontal="center" vertical="center" wrapText="1"/>
    </xf>
    <xf numFmtId="166" fontId="4" fillId="3" borderId="52" xfId="1" applyNumberFormat="1" applyFont="1" applyFill="1" applyBorder="1" applyAlignment="1">
      <alignment vertical="center" readingOrder="1"/>
    </xf>
    <xf numFmtId="166" fontId="4" fillId="3" borderId="53" xfId="1" applyNumberFormat="1" applyFont="1" applyFill="1" applyBorder="1" applyAlignment="1">
      <alignment vertical="center" readingOrder="1"/>
    </xf>
    <xf numFmtId="167" fontId="38" fillId="0" borderId="58" xfId="1" applyNumberFormat="1" applyFont="1" applyFill="1" applyBorder="1" applyAlignment="1">
      <alignment horizontal="center" vertical="center" wrapText="1" readingOrder="1"/>
    </xf>
    <xf numFmtId="167" fontId="38" fillId="0" borderId="24" xfId="1" applyNumberFormat="1" applyFont="1" applyFill="1" applyBorder="1" applyAlignment="1">
      <alignment horizontal="center" vertical="center" wrapText="1" readingOrder="1"/>
    </xf>
    <xf numFmtId="167" fontId="38" fillId="0" borderId="24" xfId="1" applyNumberFormat="1" applyFont="1" applyFill="1" applyBorder="1" applyAlignment="1">
      <alignment horizontal="center" vertical="center"/>
    </xf>
    <xf numFmtId="167" fontId="38" fillId="0" borderId="60" xfId="1" applyNumberFormat="1" applyFont="1" applyFill="1" applyBorder="1" applyAlignment="1">
      <alignment horizontal="center" vertical="center" wrapText="1"/>
    </xf>
    <xf numFmtId="167" fontId="38" fillId="0" borderId="60" xfId="1" applyNumberFormat="1" applyFont="1" applyFill="1" applyBorder="1" applyAlignment="1">
      <alignment horizontal="center" vertical="center" readingOrder="1"/>
    </xf>
    <xf numFmtId="167" fontId="13" fillId="4" borderId="48" xfId="1" applyNumberFormat="1" applyFont="1" applyFill="1" applyBorder="1" applyAlignment="1">
      <alignment vertical="center" readingOrder="1"/>
    </xf>
    <xf numFmtId="164" fontId="13" fillId="4" borderId="49" xfId="1" applyNumberFormat="1" applyFont="1" applyFill="1" applyBorder="1" applyAlignment="1">
      <alignment vertical="center" readingOrder="1"/>
    </xf>
    <xf numFmtId="164" fontId="13" fillId="4" borderId="7" xfId="1" applyNumberFormat="1" applyFont="1" applyFill="1" applyBorder="1" applyAlignment="1">
      <alignment vertical="center" readingOrder="1"/>
    </xf>
    <xf numFmtId="164" fontId="13" fillId="4" borderId="70" xfId="1" applyNumberFormat="1" applyFont="1" applyFill="1" applyBorder="1" applyAlignment="1">
      <alignment vertical="center" readingOrder="1"/>
    </xf>
    <xf numFmtId="164" fontId="13" fillId="4" borderId="48" xfId="1" applyNumberFormat="1" applyFont="1" applyFill="1" applyBorder="1" applyAlignment="1">
      <alignment vertical="center" readingOrder="1"/>
    </xf>
    <xf numFmtId="164" fontId="13" fillId="4" borderId="74" xfId="1" applyNumberFormat="1" applyFont="1" applyFill="1" applyBorder="1" applyAlignment="1">
      <alignment vertical="center" readingOrder="1"/>
    </xf>
    <xf numFmtId="9" fontId="30" fillId="0" borderId="50" xfId="0" applyNumberFormat="1" applyFont="1" applyFill="1" applyBorder="1" applyAlignment="1">
      <alignment horizontal="center" vertical="center" wrapText="1" readingOrder="1"/>
    </xf>
    <xf numFmtId="0" fontId="30" fillId="0" borderId="68" xfId="0" applyFont="1" applyFill="1" applyBorder="1" applyAlignment="1">
      <alignment horizontal="center" vertical="center" wrapText="1" readingOrder="1"/>
    </xf>
    <xf numFmtId="2" fontId="30" fillId="0" borderId="50" xfId="0" applyNumberFormat="1" applyFont="1" applyFill="1" applyBorder="1" applyAlignment="1">
      <alignment horizontal="center" vertical="center"/>
    </xf>
    <xf numFmtId="0" fontId="30" fillId="0" borderId="64" xfId="0" applyFont="1" applyFill="1" applyBorder="1" applyAlignment="1">
      <alignment horizontal="center" vertical="center" wrapText="1" readingOrder="1"/>
    </xf>
    <xf numFmtId="0" fontId="30" fillId="0" borderId="58" xfId="0" applyFont="1" applyFill="1" applyBorder="1" applyAlignment="1">
      <alignment horizontal="left" vertical="center" wrapText="1" readingOrder="1"/>
    </xf>
    <xf numFmtId="0" fontId="30" fillId="0" borderId="58" xfId="0" applyFont="1" applyFill="1" applyBorder="1" applyAlignment="1">
      <alignment horizontal="center" vertical="center" wrapText="1" readingOrder="1"/>
    </xf>
    <xf numFmtId="168" fontId="30" fillId="0" borderId="60" xfId="1" applyNumberFormat="1" applyFont="1" applyFill="1" applyBorder="1" applyAlignment="1">
      <alignment horizontal="center" vertical="center" readingOrder="1"/>
    </xf>
    <xf numFmtId="164" fontId="30" fillId="0" borderId="60" xfId="1" applyFont="1" applyFill="1" applyBorder="1" applyAlignment="1">
      <alignment horizontal="center" vertical="center" wrapText="1" readingOrder="1"/>
    </xf>
    <xf numFmtId="0" fontId="38" fillId="0" borderId="72" xfId="0" applyFont="1" applyFill="1" applyBorder="1" applyAlignment="1">
      <alignment horizontal="center" vertical="center" wrapText="1" readingOrder="1"/>
    </xf>
    <xf numFmtId="0" fontId="38" fillId="0" borderId="58" xfId="0" applyFont="1" applyFill="1" applyBorder="1" applyAlignment="1">
      <alignment horizontal="left" vertical="center" wrapText="1" readingOrder="1"/>
    </xf>
    <xf numFmtId="0" fontId="38" fillId="0" borderId="54" xfId="0" applyFont="1" applyFill="1" applyBorder="1" applyAlignment="1">
      <alignment horizontal="center" vertical="center" wrapText="1" readingOrder="1"/>
    </xf>
    <xf numFmtId="0" fontId="38" fillId="0" borderId="24" xfId="0" applyFont="1" applyFill="1" applyBorder="1" applyAlignment="1">
      <alignment horizontal="left" vertical="center" wrapText="1" readingOrder="1"/>
    </xf>
    <xf numFmtId="0" fontId="38" fillId="0" borderId="64" xfId="0" applyFont="1" applyFill="1" applyBorder="1" applyAlignment="1">
      <alignment horizontal="center" vertical="center" wrapText="1" readingOrder="1"/>
    </xf>
    <xf numFmtId="0" fontId="38" fillId="0" borderId="60" xfId="0" applyFont="1" applyFill="1" applyBorder="1" applyAlignment="1">
      <alignment horizontal="left" vertical="center" wrapText="1"/>
    </xf>
    <xf numFmtId="164" fontId="30" fillId="0" borderId="76" xfId="1" applyFont="1" applyFill="1" applyBorder="1" applyAlignment="1">
      <alignment vertical="center" wrapText="1" readingOrder="1"/>
    </xf>
    <xf numFmtId="0" fontId="71" fillId="0" borderId="0" xfId="0" applyFont="1"/>
    <xf numFmtId="9" fontId="30" fillId="0" borderId="50" xfId="0" applyNumberFormat="1" applyFont="1" applyFill="1" applyBorder="1" applyAlignment="1">
      <alignment horizontal="center" vertical="center" wrapText="1" readingOrder="1"/>
    </xf>
    <xf numFmtId="164" fontId="30" fillId="0" borderId="60" xfId="1" applyFont="1" applyFill="1" applyBorder="1" applyAlignment="1">
      <alignment horizontal="center" vertical="center" wrapText="1" readingOrder="1"/>
    </xf>
    <xf numFmtId="0" fontId="24" fillId="2" borderId="2" xfId="4" applyFont="1" applyFill="1" applyBorder="1" applyAlignment="1">
      <alignment horizontal="center" vertical="center"/>
    </xf>
    <xf numFmtId="172" fontId="23" fillId="2" borderId="2" xfId="4" applyNumberFormat="1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14" fontId="6" fillId="3" borderId="52" xfId="0" applyNumberFormat="1" applyFont="1" applyFill="1" applyBorder="1" applyAlignment="1">
      <alignment horizontal="center" vertical="center"/>
    </xf>
    <xf numFmtId="166" fontId="6" fillId="3" borderId="52" xfId="1" applyNumberFormat="1" applyFont="1" applyFill="1" applyBorder="1" applyAlignment="1">
      <alignment horizontal="center" vertical="center"/>
    </xf>
    <xf numFmtId="9" fontId="6" fillId="3" borderId="52" xfId="2" applyFont="1" applyFill="1" applyBorder="1" applyAlignment="1">
      <alignment horizontal="center" vertical="center"/>
    </xf>
    <xf numFmtId="1" fontId="6" fillId="3" borderId="52" xfId="2" applyNumberFormat="1" applyFont="1" applyFill="1" applyBorder="1" applyAlignment="1">
      <alignment horizontal="center" vertical="center"/>
    </xf>
    <xf numFmtId="0" fontId="6" fillId="3" borderId="52" xfId="2" applyNumberFormat="1" applyFont="1" applyFill="1" applyBorder="1" applyAlignment="1">
      <alignment horizontal="center" vertical="center"/>
    </xf>
    <xf numFmtId="164" fontId="6" fillId="3" borderId="52" xfId="1" applyFont="1" applyFill="1" applyBorder="1" applyAlignment="1">
      <alignment horizontal="center" vertical="center"/>
    </xf>
    <xf numFmtId="164" fontId="6" fillId="3" borderId="53" xfId="1" applyFont="1" applyFill="1" applyBorder="1" applyAlignment="1">
      <alignment horizontal="center" vertical="center"/>
    </xf>
    <xf numFmtId="164" fontId="39" fillId="4" borderId="2" xfId="1" applyFont="1" applyFill="1" applyBorder="1" applyAlignment="1">
      <alignment horizontal="center" vertical="center"/>
    </xf>
    <xf numFmtId="164" fontId="74" fillId="4" borderId="0" xfId="1" applyFont="1" applyFill="1" applyBorder="1" applyAlignment="1">
      <alignment horizontal="center" vertical="center"/>
    </xf>
    <xf numFmtId="164" fontId="74" fillId="4" borderId="7" xfId="1" applyFont="1" applyFill="1" applyBorder="1" applyAlignment="1">
      <alignment horizontal="center" vertical="center"/>
    </xf>
    <xf numFmtId="164" fontId="39" fillId="3" borderId="2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75" fillId="0" borderId="0" xfId="0" applyFont="1"/>
    <xf numFmtId="165" fontId="24" fillId="3" borderId="7" xfId="6" applyFont="1" applyFill="1" applyBorder="1" applyAlignment="1">
      <alignment horizontal="center" vertical="center"/>
    </xf>
    <xf numFmtId="172" fontId="24" fillId="3" borderId="1" xfId="4" applyNumberFormat="1" applyFont="1" applyFill="1" applyBorder="1" applyAlignment="1">
      <alignment horizontal="center" vertical="center"/>
    </xf>
    <xf numFmtId="172" fontId="24" fillId="3" borderId="10" xfId="4" applyNumberFormat="1" applyFont="1" applyFill="1" applyBorder="1" applyAlignment="1">
      <alignment horizontal="center" vertical="center"/>
    </xf>
    <xf numFmtId="165" fontId="24" fillId="3" borderId="22" xfId="6" applyFont="1" applyFill="1" applyBorder="1" applyAlignment="1">
      <alignment horizontal="center" vertical="center"/>
    </xf>
    <xf numFmtId="165" fontId="24" fillId="3" borderId="23" xfId="6" applyFont="1" applyFill="1" applyBorder="1" applyAlignment="1">
      <alignment horizontal="center" vertical="center"/>
    </xf>
    <xf numFmtId="172" fontId="24" fillId="3" borderId="16" xfId="4" applyNumberFormat="1" applyFont="1" applyFill="1" applyBorder="1" applyAlignment="1">
      <alignment horizontal="center" vertical="center"/>
    </xf>
    <xf numFmtId="172" fontId="24" fillId="3" borderId="17" xfId="4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37" fillId="2" borderId="0" xfId="0" applyFont="1" applyFill="1" applyAlignment="1">
      <alignment horizontal="left"/>
    </xf>
    <xf numFmtId="164" fontId="37" fillId="2" borderId="0" xfId="1" applyFont="1" applyFill="1" applyAlignment="1">
      <alignment horizontal="left"/>
    </xf>
    <xf numFmtId="0" fontId="37" fillId="2" borderId="0" xfId="0" applyFont="1" applyFill="1"/>
    <xf numFmtId="0" fontId="34" fillId="2" borderId="0" xfId="0" applyFont="1" applyFill="1"/>
    <xf numFmtId="170" fontId="21" fillId="2" borderId="1" xfId="4" applyNumberFormat="1" applyFont="1" applyFill="1" applyBorder="1"/>
    <xf numFmtId="0" fontId="24" fillId="0" borderId="2" xfId="4" applyFont="1" applyFill="1" applyBorder="1" applyAlignment="1">
      <alignment horizontal="center"/>
    </xf>
    <xf numFmtId="170" fontId="21" fillId="0" borderId="1" xfId="4" applyNumberFormat="1" applyFont="1" applyFill="1" applyBorder="1"/>
    <xf numFmtId="10" fontId="21" fillId="0" borderId="1" xfId="5" applyNumberFormat="1" applyFont="1" applyFill="1" applyBorder="1" applyAlignment="1">
      <alignment horizontal="center"/>
    </xf>
    <xf numFmtId="171" fontId="21" fillId="0" borderId="7" xfId="4" applyNumberFormat="1" applyFont="1" applyFill="1" applyBorder="1" applyAlignment="1">
      <alignment horizontal="center"/>
    </xf>
    <xf numFmtId="171" fontId="21" fillId="0" borderId="1" xfId="4" applyNumberFormat="1" applyFont="1" applyFill="1" applyBorder="1" applyAlignment="1">
      <alignment horizontal="center"/>
    </xf>
    <xf numFmtId="166" fontId="21" fillId="0" borderId="1" xfId="1" applyNumberFormat="1" applyFont="1" applyFill="1" applyBorder="1" applyAlignment="1">
      <alignment horizontal="center" vertical="center"/>
    </xf>
    <xf numFmtId="172" fontId="21" fillId="0" borderId="1" xfId="4" applyNumberFormat="1" applyFont="1" applyFill="1" applyBorder="1"/>
    <xf numFmtId="172" fontId="21" fillId="0" borderId="10" xfId="4" applyNumberFormat="1" applyFont="1" applyFill="1" applyBorder="1" applyAlignment="1">
      <alignment horizontal="right" vertical="center"/>
    </xf>
    <xf numFmtId="172" fontId="21" fillId="0" borderId="10" xfId="4" applyNumberFormat="1" applyFont="1" applyFill="1" applyBorder="1"/>
    <xf numFmtId="0" fontId="24" fillId="0" borderId="26" xfId="4" applyFont="1" applyFill="1" applyBorder="1" applyAlignment="1">
      <alignment horizontal="center"/>
    </xf>
    <xf numFmtId="170" fontId="21" fillId="0" borderId="19" xfId="4" applyNumberFormat="1" applyFont="1" applyFill="1" applyBorder="1"/>
    <xf numFmtId="171" fontId="21" fillId="0" borderId="0" xfId="4" applyNumberFormat="1" applyFont="1" applyFill="1" applyAlignment="1">
      <alignment horizontal="center"/>
    </xf>
    <xf numFmtId="171" fontId="21" fillId="0" borderId="26" xfId="4" applyNumberFormat="1" applyFont="1" applyFill="1" applyBorder="1" applyAlignment="1">
      <alignment horizontal="center"/>
    </xf>
    <xf numFmtId="10" fontId="21" fillId="0" borderId="10" xfId="5" applyNumberFormat="1" applyFont="1" applyFill="1" applyBorder="1" applyAlignment="1">
      <alignment horizontal="center"/>
    </xf>
    <xf numFmtId="172" fontId="21" fillId="0" borderId="15" xfId="4" applyNumberFormat="1" applyFont="1" applyFill="1" applyBorder="1"/>
    <xf numFmtId="170" fontId="21" fillId="0" borderId="1" xfId="4" applyNumberFormat="1" applyFont="1" applyFill="1" applyBorder="1" applyAlignment="1">
      <alignment horizontal="center" vertical="center"/>
    </xf>
    <xf numFmtId="10" fontId="21" fillId="0" borderId="16" xfId="5" applyNumberFormat="1" applyFont="1" applyFill="1" applyBorder="1" applyAlignment="1">
      <alignment horizontal="center" vertical="center"/>
    </xf>
    <xf numFmtId="171" fontId="21" fillId="0" borderId="1" xfId="4" applyNumberFormat="1" applyFont="1" applyFill="1" applyBorder="1" applyAlignment="1">
      <alignment horizontal="center" vertical="center"/>
    </xf>
    <xf numFmtId="171" fontId="21" fillId="0" borderId="23" xfId="4" applyNumberFormat="1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horizontal="center" vertical="center"/>
    </xf>
    <xf numFmtId="172" fontId="21" fillId="0" borderId="1" xfId="4" applyNumberFormat="1" applyFont="1" applyFill="1" applyBorder="1" applyAlignment="1">
      <alignment horizontal="center" vertical="center"/>
    </xf>
    <xf numFmtId="172" fontId="21" fillId="0" borderId="10" xfId="4" applyNumberFormat="1" applyFont="1" applyFill="1" applyBorder="1" applyAlignment="1">
      <alignment horizontal="center" vertical="center"/>
    </xf>
    <xf numFmtId="0" fontId="24" fillId="0" borderId="26" xfId="4" applyFont="1" applyFill="1" applyBorder="1" applyAlignment="1">
      <alignment horizontal="center" vertical="center"/>
    </xf>
    <xf numFmtId="171" fontId="21" fillId="0" borderId="0" xfId="4" applyNumberFormat="1" applyFont="1" applyFill="1" applyAlignment="1">
      <alignment horizontal="center" vertical="center"/>
    </xf>
    <xf numFmtId="166" fontId="65" fillId="7" borderId="74" xfId="1" applyNumberFormat="1" applyFont="1" applyFill="1" applyBorder="1" applyAlignment="1">
      <alignment horizontal="center" vertical="center" readingOrder="1"/>
    </xf>
    <xf numFmtId="0" fontId="71" fillId="0" borderId="0" xfId="0" applyFont="1" applyAlignment="1">
      <alignment horizontal="center" vertical="center" wrapText="1"/>
    </xf>
    <xf numFmtId="0" fontId="69" fillId="12" borderId="74" xfId="0" applyFont="1" applyFill="1" applyBorder="1" applyAlignment="1">
      <alignment horizontal="center" vertical="center" wrapText="1" readingOrder="1"/>
    </xf>
    <xf numFmtId="167" fontId="76" fillId="3" borderId="1" xfId="1" applyNumberFormat="1" applyFont="1" applyFill="1" applyBorder="1" applyAlignment="1">
      <alignment horizontal="center" vertical="center" readingOrder="1"/>
    </xf>
    <xf numFmtId="0" fontId="52" fillId="10" borderId="2" xfId="0" applyFont="1" applyFill="1" applyBorder="1" applyAlignment="1">
      <alignment horizontal="center" vertical="center" wrapText="1" readingOrder="1"/>
    </xf>
    <xf numFmtId="0" fontId="52" fillId="10" borderId="25" xfId="0" applyFont="1" applyFill="1" applyBorder="1" applyAlignment="1">
      <alignment horizontal="center" vertical="center" wrapText="1" readingOrder="1"/>
    </xf>
    <xf numFmtId="0" fontId="52" fillId="10" borderId="48" xfId="0" applyFont="1" applyFill="1" applyBorder="1" applyAlignment="1">
      <alignment horizontal="center" vertical="center" wrapText="1" readingOrder="1"/>
    </xf>
    <xf numFmtId="0" fontId="69" fillId="10" borderId="48" xfId="0" applyFont="1" applyFill="1" applyBorder="1" applyAlignment="1">
      <alignment horizontal="center" vertical="center" wrapText="1" readingOrder="1"/>
    </xf>
    <xf numFmtId="0" fontId="52" fillId="10" borderId="49" xfId="0" applyFont="1" applyFill="1" applyBorder="1" applyAlignment="1">
      <alignment horizontal="center" vertical="center" wrapText="1" readingOrder="1"/>
    </xf>
    <xf numFmtId="0" fontId="52" fillId="10" borderId="74" xfId="0" applyFont="1" applyFill="1" applyBorder="1" applyAlignment="1">
      <alignment horizontal="center" vertical="center" wrapText="1" readingOrder="1"/>
    </xf>
    <xf numFmtId="167" fontId="13" fillId="4" borderId="74" xfId="1" applyNumberFormat="1" applyFont="1" applyFill="1" applyBorder="1" applyAlignment="1">
      <alignment vertical="center" readingOrder="1"/>
    </xf>
    <xf numFmtId="0" fontId="6" fillId="0" borderId="54" xfId="0" applyFont="1" applyFill="1" applyBorder="1" applyAlignment="1">
      <alignment horizontal="center" vertical="center"/>
    </xf>
    <xf numFmtId="167" fontId="38" fillId="0" borderId="24" xfId="1" applyNumberFormat="1" applyFont="1" applyFill="1" applyBorder="1" applyAlignment="1">
      <alignment vertical="center" wrapText="1" readingOrder="1"/>
    </xf>
    <xf numFmtId="167" fontId="38" fillId="0" borderId="60" xfId="1" applyNumberFormat="1" applyFont="1" applyFill="1" applyBorder="1" applyAlignment="1">
      <alignment vertical="center" wrapText="1" readingOrder="1"/>
    </xf>
    <xf numFmtId="167" fontId="38" fillId="0" borderId="24" xfId="1" applyNumberFormat="1" applyFont="1" applyFill="1" applyBorder="1" applyAlignment="1">
      <alignment horizontal="right" vertical="center" wrapText="1" readingOrder="1"/>
    </xf>
    <xf numFmtId="167" fontId="38" fillId="0" borderId="60" xfId="1" applyNumberFormat="1" applyFont="1" applyFill="1" applyBorder="1" applyAlignment="1">
      <alignment horizontal="center" vertical="center" wrapText="1" readingOrder="1"/>
    </xf>
    <xf numFmtId="167" fontId="38" fillId="0" borderId="71" xfId="1" applyNumberFormat="1" applyFont="1" applyFill="1" applyBorder="1" applyAlignment="1">
      <alignment horizontal="center" vertical="center" wrapText="1" readingOrder="1"/>
    </xf>
    <xf numFmtId="167" fontId="38" fillId="0" borderId="21" xfId="1" applyNumberFormat="1" applyFont="1" applyFill="1" applyBorder="1" applyAlignment="1">
      <alignment horizontal="right" vertical="center" wrapText="1" readingOrder="1"/>
    </xf>
    <xf numFmtId="167" fontId="38" fillId="0" borderId="21" xfId="1" applyNumberFormat="1" applyFont="1" applyFill="1" applyBorder="1" applyAlignment="1">
      <alignment horizontal="center" vertical="center" wrapText="1" readingOrder="1"/>
    </xf>
    <xf numFmtId="167" fontId="38" fillId="0" borderId="75" xfId="1" applyNumberFormat="1" applyFont="1" applyFill="1" applyBorder="1" applyAlignment="1">
      <alignment horizontal="center" vertical="center" wrapText="1" readingOrder="1"/>
    </xf>
    <xf numFmtId="172" fontId="23" fillId="2" borderId="2" xfId="4" applyNumberFormat="1" applyFont="1" applyFill="1" applyBorder="1" applyAlignment="1">
      <alignment horizontal="center" vertical="center" wrapText="1"/>
    </xf>
    <xf numFmtId="0" fontId="24" fillId="2" borderId="2" xfId="4" applyFont="1" applyFill="1" applyBorder="1" applyAlignment="1">
      <alignment horizontal="center" vertical="center"/>
    </xf>
    <xf numFmtId="0" fontId="30" fillId="0" borderId="72" xfId="0" applyFont="1" applyFill="1" applyBorder="1" applyAlignment="1">
      <alignment horizontal="center" vertical="center" wrapText="1" readingOrder="1"/>
    </xf>
    <xf numFmtId="0" fontId="30" fillId="0" borderId="58" xfId="0" applyFont="1" applyFill="1" applyBorder="1" applyAlignment="1">
      <alignment horizontal="left" vertical="center" wrapText="1" readingOrder="1"/>
    </xf>
    <xf numFmtId="0" fontId="30" fillId="0" borderId="58" xfId="0" applyFont="1" applyFill="1" applyBorder="1" applyAlignment="1">
      <alignment horizontal="center" vertical="center" wrapText="1" readingOrder="1"/>
    </xf>
    <xf numFmtId="166" fontId="28" fillId="0" borderId="58" xfId="1" applyNumberFormat="1" applyFont="1" applyFill="1" applyBorder="1" applyAlignment="1">
      <alignment horizontal="center" vertical="center" wrapText="1" readingOrder="1"/>
    </xf>
    <xf numFmtId="166" fontId="51" fillId="0" borderId="58" xfId="1" applyNumberFormat="1" applyFont="1" applyFill="1" applyBorder="1" applyAlignment="1">
      <alignment horizontal="center" vertical="center" wrapText="1" readingOrder="1"/>
    </xf>
    <xf numFmtId="166" fontId="51" fillId="3" borderId="32" xfId="1" applyNumberFormat="1" applyFont="1" applyFill="1" applyBorder="1" applyAlignment="1">
      <alignment horizontal="right" vertical="center" wrapText="1" readingOrder="1"/>
    </xf>
    <xf numFmtId="166" fontId="28" fillId="0" borderId="71" xfId="1" applyNumberFormat="1" applyFont="1" applyFill="1" applyBorder="1" applyAlignment="1">
      <alignment horizontal="center" vertical="center" wrapText="1" readingOrder="1"/>
    </xf>
    <xf numFmtId="166" fontId="28" fillId="0" borderId="24" xfId="1" applyNumberFormat="1" applyFont="1" applyFill="1" applyBorder="1" applyAlignment="1">
      <alignment horizontal="center" vertical="center" wrapText="1" readingOrder="1"/>
    </xf>
    <xf numFmtId="166" fontId="51" fillId="0" borderId="24" xfId="1" applyNumberFormat="1" applyFont="1" applyFill="1" applyBorder="1" applyAlignment="1">
      <alignment vertical="center" wrapText="1" readingOrder="1"/>
    </xf>
    <xf numFmtId="166" fontId="51" fillId="0" borderId="24" xfId="1" applyNumberFormat="1" applyFont="1" applyFill="1" applyBorder="1" applyAlignment="1">
      <alignment horizontal="right" vertical="center" wrapText="1" readingOrder="1"/>
    </xf>
    <xf numFmtId="166" fontId="28" fillId="0" borderId="24" xfId="1" applyNumberFormat="1" applyFont="1" applyFill="1" applyBorder="1" applyAlignment="1">
      <alignment horizontal="right" vertical="center" wrapText="1" readingOrder="1"/>
    </xf>
    <xf numFmtId="166" fontId="51" fillId="3" borderId="12" xfId="1" applyNumberFormat="1" applyFont="1" applyFill="1" applyBorder="1" applyAlignment="1">
      <alignment horizontal="right" vertical="center" wrapText="1" readingOrder="1"/>
    </xf>
    <xf numFmtId="166" fontId="28" fillId="0" borderId="21" xfId="1" applyNumberFormat="1" applyFont="1" applyFill="1" applyBorder="1" applyAlignment="1">
      <alignment horizontal="right" vertical="center" wrapText="1" readingOrder="1"/>
    </xf>
    <xf numFmtId="166" fontId="28" fillId="0" borderId="24" xfId="1" applyNumberFormat="1" applyFont="1" applyFill="1" applyBorder="1" applyAlignment="1">
      <alignment horizontal="center" vertical="center"/>
    </xf>
    <xf numFmtId="166" fontId="28" fillId="3" borderId="12" xfId="1" applyNumberFormat="1" applyFont="1" applyFill="1" applyBorder="1" applyAlignment="1">
      <alignment horizontal="right" vertical="center" wrapText="1" readingOrder="1"/>
    </xf>
    <xf numFmtId="166" fontId="28" fillId="0" borderId="21" xfId="1" applyNumberFormat="1" applyFont="1" applyFill="1" applyBorder="1" applyAlignment="1">
      <alignment horizontal="center" vertical="center" wrapText="1" readingOrder="1"/>
    </xf>
    <xf numFmtId="166" fontId="28" fillId="0" borderId="60" xfId="1" applyNumberFormat="1" applyFont="1" applyFill="1" applyBorder="1" applyAlignment="1">
      <alignment horizontal="center" vertical="center" wrapText="1"/>
    </xf>
    <xf numFmtId="166" fontId="28" fillId="0" borderId="60" xfId="1" applyNumberFormat="1" applyFont="1" applyFill="1" applyBorder="1" applyAlignment="1">
      <alignment horizontal="center" vertical="center" wrapText="1" readingOrder="1"/>
    </xf>
    <xf numFmtId="166" fontId="51" fillId="0" borderId="60" xfId="1" applyNumberFormat="1" applyFont="1" applyFill="1" applyBorder="1" applyAlignment="1">
      <alignment vertical="center" wrapText="1" readingOrder="1"/>
    </xf>
    <xf numFmtId="166" fontId="51" fillId="0" borderId="60" xfId="1" applyNumberFormat="1" applyFont="1" applyFill="1" applyBorder="1" applyAlignment="1">
      <alignment horizontal="center" vertical="center" wrapText="1" readingOrder="1"/>
    </xf>
    <xf numFmtId="166" fontId="28" fillId="0" borderId="12" xfId="1" applyNumberFormat="1" applyFont="1" applyFill="1" applyBorder="1" applyAlignment="1">
      <alignment horizontal="right" vertical="center" wrapText="1" readingOrder="1"/>
    </xf>
    <xf numFmtId="166" fontId="28" fillId="0" borderId="75" xfId="1" applyNumberFormat="1" applyFont="1" applyFill="1" applyBorder="1" applyAlignment="1">
      <alignment horizontal="center" vertical="center" wrapText="1" readingOrder="1"/>
    </xf>
    <xf numFmtId="166" fontId="4" fillId="3" borderId="48" xfId="1" applyNumberFormat="1" applyFont="1" applyFill="1" applyBorder="1" applyAlignment="1">
      <alignment vertical="center" readingOrder="1"/>
    </xf>
    <xf numFmtId="166" fontId="4" fillId="3" borderId="74" xfId="1" applyNumberFormat="1" applyFont="1" applyFill="1" applyBorder="1" applyAlignment="1">
      <alignment vertical="center" readingOrder="1"/>
    </xf>
    <xf numFmtId="166" fontId="4" fillId="3" borderId="13" xfId="1" applyNumberFormat="1" applyFont="1" applyFill="1" applyBorder="1" applyAlignment="1">
      <alignment vertical="center" readingOrder="1"/>
    </xf>
    <xf numFmtId="174" fontId="3" fillId="0" borderId="0" xfId="0" applyNumberFormat="1" applyFont="1"/>
    <xf numFmtId="174" fontId="3" fillId="0" borderId="0" xfId="0" applyNumberFormat="1" applyFont="1" applyAlignment="1">
      <alignment horizontal="left" readingOrder="1"/>
    </xf>
    <xf numFmtId="164" fontId="4" fillId="0" borderId="0" xfId="1" applyNumberFormat="1" applyFont="1" applyFill="1" applyBorder="1" applyAlignment="1">
      <alignment horizontal="center" vertical="center"/>
    </xf>
    <xf numFmtId="164" fontId="68" fillId="0" borderId="0" xfId="0" applyNumberFormat="1" applyFont="1"/>
    <xf numFmtId="167" fontId="30" fillId="0" borderId="62" xfId="1" applyNumberFormat="1" applyFont="1" applyFill="1" applyBorder="1" applyAlignment="1">
      <alignment horizontal="center" vertical="center" wrapText="1" readingOrder="1"/>
    </xf>
    <xf numFmtId="167" fontId="30" fillId="0" borderId="66" xfId="1" applyNumberFormat="1" applyFont="1" applyFill="1" applyBorder="1" applyAlignment="1">
      <alignment horizontal="center" vertical="center" wrapText="1" readingOrder="1"/>
    </xf>
    <xf numFmtId="167" fontId="30" fillId="0" borderId="50" xfId="1" applyNumberFormat="1" applyFont="1" applyFill="1" applyBorder="1" applyAlignment="1">
      <alignment horizontal="center" vertical="center" wrapText="1" readingOrder="1"/>
    </xf>
    <xf numFmtId="167" fontId="30" fillId="0" borderId="21" xfId="1" applyNumberFormat="1" applyFont="1" applyFill="1" applyBorder="1" applyAlignment="1">
      <alignment horizontal="right" vertical="center" wrapText="1" readingOrder="1"/>
    </xf>
    <xf numFmtId="167" fontId="30" fillId="0" borderId="24" xfId="1" applyNumberFormat="1" applyFont="1" applyFill="1" applyBorder="1" applyAlignment="1">
      <alignment horizontal="center" vertical="center"/>
    </xf>
    <xf numFmtId="167" fontId="30" fillId="0" borderId="21" xfId="1" applyNumberFormat="1" applyFont="1" applyFill="1" applyBorder="1" applyAlignment="1">
      <alignment horizontal="center" vertical="center" wrapText="1" readingOrder="1"/>
    </xf>
    <xf numFmtId="167" fontId="30" fillId="0" borderId="24" xfId="1" applyNumberFormat="1" applyFont="1" applyFill="1" applyBorder="1" applyAlignment="1">
      <alignment horizontal="center" vertical="center" wrapText="1"/>
    </xf>
    <xf numFmtId="166" fontId="30" fillId="0" borderId="33" xfId="1" applyNumberFormat="1" applyFont="1" applyFill="1" applyBorder="1" applyAlignment="1">
      <alignment horizontal="center" vertical="center" wrapText="1" readingOrder="1"/>
    </xf>
    <xf numFmtId="49" fontId="38" fillId="0" borderId="58" xfId="1" applyNumberFormat="1" applyFont="1" applyFill="1" applyBorder="1" applyAlignment="1">
      <alignment horizontal="center" vertical="center" wrapText="1" readingOrder="1"/>
    </xf>
    <xf numFmtId="0" fontId="30" fillId="0" borderId="64" xfId="0" applyFont="1" applyFill="1" applyBorder="1" applyAlignment="1">
      <alignment horizontal="center" vertical="center" wrapText="1" readingOrder="1"/>
    </xf>
    <xf numFmtId="0" fontId="30" fillId="0" borderId="72" xfId="0" applyFont="1" applyFill="1" applyBorder="1" applyAlignment="1">
      <alignment horizontal="center" vertical="center" wrapText="1" readingOrder="1"/>
    </xf>
    <xf numFmtId="0" fontId="30" fillId="0" borderId="58" xfId="0" applyFont="1" applyFill="1" applyBorder="1" applyAlignment="1">
      <alignment horizontal="left" vertical="center" wrapText="1" readingOrder="1"/>
    </xf>
    <xf numFmtId="0" fontId="30" fillId="0" borderId="58" xfId="0" applyFont="1" applyFill="1" applyBorder="1" applyAlignment="1">
      <alignment horizontal="center" vertical="center" wrapText="1" readingOrder="1"/>
    </xf>
    <xf numFmtId="0" fontId="30" fillId="0" borderId="24" xfId="0" applyFont="1" applyFill="1" applyBorder="1" applyAlignment="1">
      <alignment horizontal="center" vertical="center" wrapText="1" readingOrder="1"/>
    </xf>
    <xf numFmtId="164" fontId="71" fillId="9" borderId="0" xfId="1" applyFont="1" applyFill="1" applyAlignment="1">
      <alignment vertical="center" wrapText="1"/>
    </xf>
    <xf numFmtId="167" fontId="13" fillId="4" borderId="49" xfId="1" applyNumberFormat="1" applyFont="1" applyFill="1" applyBorder="1" applyAlignment="1">
      <alignment vertical="center" readingOrder="1"/>
    </xf>
    <xf numFmtId="167" fontId="13" fillId="4" borderId="7" xfId="1" applyNumberFormat="1" applyFont="1" applyFill="1" applyBorder="1" applyAlignment="1">
      <alignment vertical="center" readingOrder="1"/>
    </xf>
    <xf numFmtId="167" fontId="13" fillId="4" borderId="70" xfId="1" applyNumberFormat="1" applyFont="1" applyFill="1" applyBorder="1" applyAlignment="1">
      <alignment vertical="center" readingOrder="1"/>
    </xf>
    <xf numFmtId="167" fontId="30" fillId="0" borderId="50" xfId="1" applyNumberFormat="1" applyFont="1" applyFill="1" applyBorder="1" applyAlignment="1">
      <alignment vertical="center" wrapText="1" readingOrder="1"/>
    </xf>
    <xf numFmtId="167" fontId="30" fillId="0" borderId="24" xfId="1" applyNumberFormat="1" applyFont="1" applyFill="1" applyBorder="1" applyAlignment="1">
      <alignment horizontal="right" vertical="center" wrapText="1" readingOrder="1"/>
    </xf>
    <xf numFmtId="167" fontId="30" fillId="0" borderId="76" xfId="1" applyNumberFormat="1" applyFont="1" applyFill="1" applyBorder="1" applyAlignment="1">
      <alignment vertical="center" wrapText="1" readingOrder="1"/>
    </xf>
    <xf numFmtId="167" fontId="30" fillId="0" borderId="24" xfId="1" applyNumberFormat="1" applyFont="1" applyFill="1" applyBorder="1" applyAlignment="1">
      <alignment vertical="center" wrapText="1" readingOrder="1"/>
    </xf>
    <xf numFmtId="167" fontId="30" fillId="0" borderId="60" xfId="1" applyNumberFormat="1" applyFont="1" applyFill="1" applyBorder="1" applyAlignment="1">
      <alignment horizontal="center" vertical="center" wrapText="1" readingOrder="1"/>
    </xf>
    <xf numFmtId="0" fontId="6" fillId="0" borderId="54" xfId="0" applyFont="1" applyFill="1" applyBorder="1" applyAlignment="1">
      <alignment horizontal="center" vertical="center"/>
    </xf>
    <xf numFmtId="164" fontId="6" fillId="4" borderId="24" xfId="1" applyNumberFormat="1" applyFont="1" applyFill="1" applyBorder="1" applyAlignment="1">
      <alignment horizontal="center" vertical="center"/>
    </xf>
    <xf numFmtId="166" fontId="30" fillId="0" borderId="24" xfId="1" applyNumberFormat="1" applyFont="1" applyFill="1" applyBorder="1" applyAlignment="1">
      <alignment horizontal="center" vertical="center" readingOrder="1"/>
    </xf>
    <xf numFmtId="166" fontId="30" fillId="0" borderId="60" xfId="1" applyNumberFormat="1" applyFont="1" applyFill="1" applyBorder="1" applyAlignment="1">
      <alignment horizontal="center" vertical="center" readingOrder="1"/>
    </xf>
    <xf numFmtId="167" fontId="6" fillId="0" borderId="16" xfId="1" applyNumberFormat="1" applyFont="1" applyFill="1" applyBorder="1" applyAlignment="1">
      <alignment horizontal="center" vertical="center"/>
    </xf>
    <xf numFmtId="167" fontId="6" fillId="0" borderId="10" xfId="1" applyNumberFormat="1" applyFont="1" applyFill="1" applyBorder="1" applyAlignment="1">
      <alignment horizontal="center" vertical="center"/>
    </xf>
    <xf numFmtId="167" fontId="6" fillId="0" borderId="30" xfId="1" applyNumberFormat="1" applyFont="1" applyFill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51" fillId="0" borderId="19" xfId="0" applyFont="1" applyBorder="1" applyAlignment="1">
      <alignment horizontal="left" vertical="center" wrapText="1"/>
    </xf>
    <xf numFmtId="167" fontId="51" fillId="0" borderId="30" xfId="1" applyNumberFormat="1" applyFont="1" applyFill="1" applyBorder="1" applyAlignment="1">
      <alignment horizontal="center" vertical="center"/>
    </xf>
    <xf numFmtId="167" fontId="32" fillId="0" borderId="2" xfId="1" applyNumberFormat="1" applyFont="1" applyFill="1" applyBorder="1" applyAlignment="1">
      <alignment horizontal="center" vertical="center"/>
    </xf>
    <xf numFmtId="168" fontId="32" fillId="0" borderId="2" xfId="1" applyNumberFormat="1" applyFont="1" applyFill="1" applyBorder="1" applyAlignment="1">
      <alignment horizontal="center" vertical="center"/>
    </xf>
    <xf numFmtId="167" fontId="32" fillId="0" borderId="1" xfId="1" applyNumberFormat="1" applyFont="1" applyFill="1" applyBorder="1" applyAlignment="1">
      <alignment horizontal="center" vertical="center"/>
    </xf>
    <xf numFmtId="0" fontId="3" fillId="0" borderId="26" xfId="0" applyFont="1" applyBorder="1"/>
    <xf numFmtId="0" fontId="3" fillId="0" borderId="30" xfId="0" applyFont="1" applyBorder="1" applyAlignment="1">
      <alignment horizontal="center" vertical="center"/>
    </xf>
    <xf numFmtId="164" fontId="17" fillId="0" borderId="21" xfId="1" applyFont="1" applyFill="1" applyBorder="1" applyAlignment="1">
      <alignment horizontal="right" vertical="center"/>
    </xf>
    <xf numFmtId="164" fontId="17" fillId="0" borderId="24" xfId="1" applyFont="1" applyFill="1" applyBorder="1" applyAlignment="1">
      <alignment horizontal="left" vertical="center"/>
    </xf>
    <xf numFmtId="10" fontId="31" fillId="0" borderId="24" xfId="2" applyNumberFormat="1" applyFont="1" applyFill="1" applyBorder="1" applyAlignment="1">
      <alignment horizontal="right" vertical="center"/>
    </xf>
    <xf numFmtId="10" fontId="31" fillId="0" borderId="21" xfId="2" applyNumberFormat="1" applyFont="1" applyFill="1" applyBorder="1" applyAlignment="1">
      <alignment horizontal="center" vertical="center"/>
    </xf>
    <xf numFmtId="181" fontId="31" fillId="0" borderId="24" xfId="1" applyNumberFormat="1" applyFont="1" applyFill="1" applyBorder="1" applyAlignment="1">
      <alignment horizontal="right" vertical="center"/>
    </xf>
    <xf numFmtId="164" fontId="17" fillId="0" borderId="52" xfId="1" applyFont="1" applyFill="1" applyBorder="1" applyAlignment="1">
      <alignment horizontal="left" vertical="center"/>
    </xf>
    <xf numFmtId="164" fontId="17" fillId="0" borderId="53" xfId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0" fontId="13" fillId="0" borderId="0" xfId="2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82" fontId="3" fillId="0" borderId="0" xfId="0" applyNumberFormat="1" applyFont="1"/>
    <xf numFmtId="14" fontId="4" fillId="3" borderId="24" xfId="1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167" fontId="17" fillId="3" borderId="24" xfId="1" applyNumberFormat="1" applyFont="1" applyFill="1" applyBorder="1" applyAlignment="1">
      <alignment vertical="center"/>
    </xf>
    <xf numFmtId="164" fontId="38" fillId="0" borderId="0" xfId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/>
    <xf numFmtId="0" fontId="34" fillId="0" borderId="0" xfId="0" applyFont="1" applyFill="1" applyAlignment="1">
      <alignment horizontal="center" vertical="center" readingOrder="1"/>
    </xf>
    <xf numFmtId="0" fontId="34" fillId="0" borderId="0" xfId="0" applyFont="1" applyFill="1"/>
    <xf numFmtId="0" fontId="79" fillId="0" borderId="0" xfId="0" applyFont="1" applyFill="1" applyAlignment="1"/>
    <xf numFmtId="0" fontId="28" fillId="0" borderId="0" xfId="0" applyFont="1" applyFill="1"/>
    <xf numFmtId="0" fontId="34" fillId="0" borderId="0" xfId="0" applyFont="1" applyFill="1" applyAlignment="1">
      <alignment horizontal="left" readingOrder="1"/>
    </xf>
    <xf numFmtId="164" fontId="34" fillId="0" borderId="0" xfId="1" applyFont="1" applyFill="1" applyAlignment="1"/>
    <xf numFmtId="0" fontId="34" fillId="0" borderId="0" xfId="1" applyNumberFormat="1" applyFont="1" applyFill="1"/>
    <xf numFmtId="0" fontId="35" fillId="0" borderId="0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 readingOrder="1"/>
    </xf>
    <xf numFmtId="0" fontId="30" fillId="0" borderId="25" xfId="0" applyFont="1" applyFill="1" applyBorder="1" applyAlignment="1">
      <alignment horizontal="center" vertical="center" wrapText="1" readingOrder="1"/>
    </xf>
    <xf numFmtId="0" fontId="30" fillId="0" borderId="48" xfId="0" applyFont="1" applyFill="1" applyBorder="1" applyAlignment="1">
      <alignment horizontal="center" vertical="center" wrapText="1" readingOrder="1"/>
    </xf>
    <xf numFmtId="0" fontId="30" fillId="0" borderId="49" xfId="0" applyFont="1" applyFill="1" applyBorder="1" applyAlignment="1">
      <alignment horizontal="center" vertical="center" wrapText="1" readingOrder="1"/>
    </xf>
    <xf numFmtId="0" fontId="30" fillId="0" borderId="74" xfId="0" applyFont="1" applyFill="1" applyBorder="1" applyAlignment="1">
      <alignment horizontal="center" vertical="center" wrapText="1" readingOrder="1"/>
    </xf>
    <xf numFmtId="166" fontId="28" fillId="0" borderId="0" xfId="1" applyNumberFormat="1" applyFont="1" applyFill="1" applyBorder="1" applyAlignment="1">
      <alignment vertical="center" readingOrder="1"/>
    </xf>
    <xf numFmtId="0" fontId="34" fillId="0" borderId="24" xfId="0" applyFont="1" applyFill="1" applyBorder="1"/>
    <xf numFmtId="178" fontId="28" fillId="0" borderId="24" xfId="0" applyNumberFormat="1" applyFont="1" applyFill="1" applyBorder="1" applyAlignment="1">
      <alignment horizontal="center" vertical="center" wrapText="1" readingOrder="1"/>
    </xf>
    <xf numFmtId="173" fontId="28" fillId="0" borderId="24" xfId="2" applyNumberFormat="1" applyFont="1" applyFill="1" applyBorder="1" applyAlignment="1">
      <alignment horizontal="center" vertical="center" readingOrder="1"/>
    </xf>
    <xf numFmtId="0" fontId="30" fillId="0" borderId="24" xfId="0" applyFont="1" applyFill="1" applyBorder="1" applyAlignment="1">
      <alignment horizontal="center" vertical="center"/>
    </xf>
    <xf numFmtId="169" fontId="31" fillId="0" borderId="24" xfId="1" applyNumberFormat="1" applyFont="1" applyFill="1" applyBorder="1" applyAlignment="1">
      <alignment horizontal="center" vertical="center" readingOrder="1"/>
    </xf>
    <xf numFmtId="9" fontId="30" fillId="0" borderId="50" xfId="0" applyNumberFormat="1" applyFont="1" applyFill="1" applyBorder="1" applyAlignment="1">
      <alignment horizontal="center" vertical="center" wrapText="1" readingOrder="1"/>
    </xf>
    <xf numFmtId="0" fontId="30" fillId="0" borderId="68" xfId="0" applyFont="1" applyFill="1" applyBorder="1" applyAlignment="1">
      <alignment horizontal="center" vertical="center" wrapText="1" readingOrder="1"/>
    </xf>
    <xf numFmtId="2" fontId="30" fillId="0" borderId="50" xfId="0" applyNumberFormat="1" applyFont="1" applyFill="1" applyBorder="1" applyAlignment="1">
      <alignment horizontal="center" vertical="center"/>
    </xf>
    <xf numFmtId="168" fontId="30" fillId="0" borderId="60" xfId="1" applyNumberFormat="1" applyFont="1" applyFill="1" applyBorder="1" applyAlignment="1">
      <alignment horizontal="center" vertical="center" readingOrder="1"/>
    </xf>
    <xf numFmtId="0" fontId="30" fillId="0" borderId="64" xfId="0" applyFont="1" applyFill="1" applyBorder="1" applyAlignment="1">
      <alignment horizontal="center" vertical="center" wrapText="1" readingOrder="1"/>
    </xf>
    <xf numFmtId="0" fontId="30" fillId="0" borderId="58" xfId="0" applyFont="1" applyFill="1" applyBorder="1" applyAlignment="1">
      <alignment horizontal="left" vertical="center" wrapText="1" readingOrder="1"/>
    </xf>
    <xf numFmtId="0" fontId="30" fillId="0" borderId="24" xfId="0" applyFont="1" applyFill="1" applyBorder="1" applyAlignment="1">
      <alignment horizontal="center" vertical="center" wrapText="1" readingOrder="1"/>
    </xf>
    <xf numFmtId="167" fontId="30" fillId="0" borderId="24" xfId="1" applyNumberFormat="1" applyFont="1" applyFill="1" applyBorder="1" applyAlignment="1">
      <alignment horizontal="center" vertical="center" wrapText="1" readingOrder="1"/>
    </xf>
    <xf numFmtId="0" fontId="24" fillId="2" borderId="2" xfId="4" applyFont="1" applyFill="1" applyBorder="1" applyAlignment="1">
      <alignment horizontal="center" vertical="center"/>
    </xf>
    <xf numFmtId="0" fontId="24" fillId="2" borderId="7" xfId="4" applyFont="1" applyFill="1" applyBorder="1" applyAlignment="1">
      <alignment horizontal="center" vertical="center"/>
    </xf>
    <xf numFmtId="0" fontId="24" fillId="2" borderId="10" xfId="4" applyFont="1" applyFill="1" applyBorder="1" applyAlignment="1">
      <alignment horizontal="center" vertical="center"/>
    </xf>
    <xf numFmtId="0" fontId="77" fillId="2" borderId="2" xfId="4" applyFont="1" applyFill="1" applyBorder="1" applyAlignment="1">
      <alignment horizontal="center" vertical="center" wrapText="1"/>
    </xf>
    <xf numFmtId="0" fontId="77" fillId="2" borderId="7" xfId="4" applyFont="1" applyFill="1" applyBorder="1" applyAlignment="1">
      <alignment horizontal="center" vertical="center" wrapText="1"/>
    </xf>
    <xf numFmtId="0" fontId="77" fillId="2" borderId="10" xfId="4" applyFont="1" applyFill="1" applyBorder="1" applyAlignment="1">
      <alignment horizontal="center" vertical="center" wrapText="1"/>
    </xf>
    <xf numFmtId="165" fontId="27" fillId="2" borderId="2" xfId="6" applyFont="1" applyFill="1" applyBorder="1" applyAlignment="1">
      <alignment horizontal="left" vertical="center"/>
    </xf>
    <xf numFmtId="165" fontId="27" fillId="2" borderId="7" xfId="6" applyFont="1" applyFill="1" applyBorder="1" applyAlignment="1">
      <alignment horizontal="left" vertical="center"/>
    </xf>
    <xf numFmtId="165" fontId="27" fillId="2" borderId="10" xfId="6" applyFont="1" applyFill="1" applyBorder="1" applyAlignment="1">
      <alignment horizontal="left" vertical="center"/>
    </xf>
    <xf numFmtId="0" fontId="24" fillId="6" borderId="2" xfId="4" applyFont="1" applyFill="1" applyBorder="1" applyAlignment="1">
      <alignment horizontal="center" vertical="center"/>
    </xf>
    <xf numFmtId="0" fontId="24" fillId="6" borderId="7" xfId="4" applyFont="1" applyFill="1" applyBorder="1" applyAlignment="1">
      <alignment horizontal="center" vertical="center"/>
    </xf>
    <xf numFmtId="0" fontId="24" fillId="6" borderId="10" xfId="4" applyFont="1" applyFill="1" applyBorder="1" applyAlignment="1">
      <alignment horizontal="center" vertical="center"/>
    </xf>
    <xf numFmtId="0" fontId="24" fillId="5" borderId="2" xfId="4" applyFont="1" applyFill="1" applyBorder="1" applyAlignment="1">
      <alignment horizontal="center" vertical="center"/>
    </xf>
    <xf numFmtId="0" fontId="24" fillId="5" borderId="7" xfId="4" applyFont="1" applyFill="1" applyBorder="1" applyAlignment="1">
      <alignment horizontal="center" vertical="center"/>
    </xf>
    <xf numFmtId="0" fontId="24" fillId="5" borderId="10" xfId="4" applyFont="1" applyFill="1" applyBorder="1" applyAlignment="1">
      <alignment horizontal="center" vertical="center"/>
    </xf>
    <xf numFmtId="0" fontId="24" fillId="3" borderId="25" xfId="4" applyFont="1" applyFill="1" applyBorder="1" applyAlignment="1">
      <alignment horizontal="center" vertical="center"/>
    </xf>
    <xf numFmtId="0" fontId="24" fillId="3" borderId="48" xfId="4" applyFont="1" applyFill="1" applyBorder="1" applyAlignment="1">
      <alignment horizontal="center" vertical="center"/>
    </xf>
    <xf numFmtId="0" fontId="24" fillId="3" borderId="49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0" fontId="24" fillId="2" borderId="48" xfId="4" applyFont="1" applyFill="1" applyBorder="1" applyAlignment="1">
      <alignment horizontal="center" vertical="center"/>
    </xf>
    <xf numFmtId="0" fontId="24" fillId="2" borderId="49" xfId="4" applyFont="1" applyFill="1" applyBorder="1" applyAlignment="1">
      <alignment horizontal="center" vertical="center"/>
    </xf>
    <xf numFmtId="0" fontId="24" fillId="4" borderId="25" xfId="4" applyFont="1" applyFill="1" applyBorder="1" applyAlignment="1">
      <alignment horizontal="center" vertical="center"/>
    </xf>
    <xf numFmtId="0" fontId="24" fillId="4" borderId="48" xfId="4" applyFont="1" applyFill="1" applyBorder="1" applyAlignment="1">
      <alignment horizontal="center" vertical="center"/>
    </xf>
    <xf numFmtId="0" fontId="24" fillId="4" borderId="49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24" fillId="0" borderId="48" xfId="4" applyFont="1" applyFill="1" applyBorder="1" applyAlignment="1">
      <alignment horizontal="center" vertical="center"/>
    </xf>
    <xf numFmtId="0" fontId="24" fillId="0" borderId="49" xfId="4" applyFont="1" applyFill="1" applyBorder="1" applyAlignment="1">
      <alignment horizontal="center" vertical="center"/>
    </xf>
    <xf numFmtId="0" fontId="20" fillId="2" borderId="0" xfId="4" applyFont="1" applyFill="1" applyAlignment="1">
      <alignment horizontal="center" vertical="center" wrapText="1"/>
    </xf>
    <xf numFmtId="0" fontId="23" fillId="2" borderId="16" xfId="4" applyFont="1" applyFill="1" applyBorder="1" applyAlignment="1">
      <alignment horizontal="center" vertical="center" wrapText="1"/>
    </xf>
    <xf numFmtId="0" fontId="23" fillId="2" borderId="15" xfId="4" applyFont="1" applyFill="1" applyBorder="1" applyAlignment="1">
      <alignment horizontal="center" vertical="center" wrapText="1"/>
    </xf>
    <xf numFmtId="170" fontId="23" fillId="2" borderId="16" xfId="4" applyNumberFormat="1" applyFont="1" applyFill="1" applyBorder="1" applyAlignment="1">
      <alignment horizontal="center" vertical="center" wrapText="1"/>
    </xf>
    <xf numFmtId="170" fontId="23" fillId="2" borderId="15" xfId="4" applyNumberFormat="1" applyFont="1" applyFill="1" applyBorder="1" applyAlignment="1">
      <alignment horizontal="center" vertical="center" wrapText="1"/>
    </xf>
    <xf numFmtId="171" fontId="23" fillId="2" borderId="23" xfId="4" applyNumberFormat="1" applyFont="1" applyFill="1" applyBorder="1" applyAlignment="1">
      <alignment horizontal="center" vertical="center" wrapText="1"/>
    </xf>
    <xf numFmtId="171" fontId="23" fillId="2" borderId="17" xfId="4" applyNumberFormat="1" applyFont="1" applyFill="1" applyBorder="1" applyAlignment="1">
      <alignment horizontal="center" vertical="center" wrapText="1"/>
    </xf>
    <xf numFmtId="171" fontId="23" fillId="2" borderId="14" xfId="4" applyNumberFormat="1" applyFont="1" applyFill="1" applyBorder="1" applyAlignment="1">
      <alignment horizontal="center" vertical="center" wrapText="1"/>
    </xf>
    <xf numFmtId="171" fontId="23" fillId="2" borderId="20" xfId="4" applyNumberFormat="1" applyFont="1" applyFill="1" applyBorder="1" applyAlignment="1">
      <alignment horizontal="center" vertical="center" wrapText="1"/>
    </xf>
    <xf numFmtId="172" fontId="23" fillId="2" borderId="16" xfId="4" applyNumberFormat="1" applyFont="1" applyFill="1" applyBorder="1" applyAlignment="1">
      <alignment horizontal="center" vertical="center" wrapText="1"/>
    </xf>
    <xf numFmtId="172" fontId="23" fillId="2" borderId="15" xfId="4" applyNumberFormat="1" applyFont="1" applyFill="1" applyBorder="1" applyAlignment="1">
      <alignment horizontal="center" vertical="center" wrapText="1"/>
    </xf>
    <xf numFmtId="172" fontId="23" fillId="2" borderId="2" xfId="4" applyNumberFormat="1" applyFont="1" applyFill="1" applyBorder="1" applyAlignment="1">
      <alignment horizontal="center" vertical="center" wrapText="1"/>
    </xf>
    <xf numFmtId="172" fontId="23" fillId="2" borderId="10" xfId="4" applyNumberFormat="1" applyFont="1" applyFill="1" applyBorder="1" applyAlignment="1">
      <alignment horizontal="center" vertical="center" wrapText="1"/>
    </xf>
    <xf numFmtId="165" fontId="21" fillId="0" borderId="22" xfId="0" applyNumberFormat="1" applyFont="1" applyBorder="1" applyAlignment="1">
      <alignment horizontal="center"/>
    </xf>
    <xf numFmtId="165" fontId="27" fillId="3" borderId="2" xfId="6" applyFont="1" applyFill="1" applyBorder="1" applyAlignment="1">
      <alignment horizontal="left" vertical="center"/>
    </xf>
    <xf numFmtId="165" fontId="27" fillId="3" borderId="7" xfId="6" applyFont="1" applyFill="1" applyBorder="1" applyAlignment="1">
      <alignment horizontal="left" vertical="center"/>
    </xf>
    <xf numFmtId="165" fontId="27" fillId="3" borderId="10" xfId="6" applyFont="1" applyFill="1" applyBorder="1" applyAlignment="1">
      <alignment horizontal="left" vertical="center"/>
    </xf>
    <xf numFmtId="0" fontId="77" fillId="2" borderId="2" xfId="4" applyFont="1" applyFill="1" applyBorder="1" applyAlignment="1">
      <alignment horizontal="center" vertical="center"/>
    </xf>
    <xf numFmtId="0" fontId="77" fillId="2" borderId="7" xfId="4" applyFont="1" applyFill="1" applyBorder="1" applyAlignment="1">
      <alignment horizontal="center" vertical="center"/>
    </xf>
    <xf numFmtId="0" fontId="77" fillId="2" borderId="10" xfId="4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/>
    </xf>
    <xf numFmtId="164" fontId="6" fillId="0" borderId="10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6" fillId="4" borderId="23" xfId="0" applyNumberFormat="1" applyFont="1" applyFill="1" applyBorder="1" applyAlignment="1">
      <alignment horizontal="center" vertical="center"/>
    </xf>
    <xf numFmtId="14" fontId="6" fillId="4" borderId="17" xfId="0" applyNumberFormat="1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14" fontId="6" fillId="4" borderId="10" xfId="0" applyNumberFormat="1" applyFont="1" applyFill="1" applyBorder="1" applyAlignment="1">
      <alignment horizontal="center" vertical="center"/>
    </xf>
    <xf numFmtId="14" fontId="6" fillId="4" borderId="26" xfId="0" applyNumberFormat="1" applyFont="1" applyFill="1" applyBorder="1" applyAlignment="1">
      <alignment horizontal="center" vertical="center"/>
    </xf>
    <xf numFmtId="14" fontId="6" fillId="4" borderId="3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6" fillId="4" borderId="23" xfId="2" applyNumberFormat="1" applyFont="1" applyFill="1" applyBorder="1" applyAlignment="1">
      <alignment horizontal="center" vertical="center"/>
    </xf>
    <xf numFmtId="1" fontId="6" fillId="4" borderId="17" xfId="2" applyNumberFormat="1" applyFont="1" applyFill="1" applyBorder="1" applyAlignment="1">
      <alignment horizontal="center" vertical="center"/>
    </xf>
    <xf numFmtId="1" fontId="6" fillId="4" borderId="3" xfId="2" applyNumberFormat="1" applyFont="1" applyFill="1" applyBorder="1" applyAlignment="1">
      <alignment horizontal="center" vertical="center"/>
    </xf>
    <xf numFmtId="1" fontId="6" fillId="4" borderId="13" xfId="2" applyNumberFormat="1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14" fontId="6" fillId="4" borderId="10" xfId="0" applyNumberFormat="1" applyFont="1" applyFill="1" applyBorder="1" applyAlignment="1">
      <alignment horizontal="center" vertical="center" wrapText="1"/>
    </xf>
    <xf numFmtId="1" fontId="6" fillId="3" borderId="2" xfId="2" applyNumberFormat="1" applyFont="1" applyFill="1" applyBorder="1" applyAlignment="1">
      <alignment horizontal="center" vertical="center"/>
    </xf>
    <xf numFmtId="1" fontId="6" fillId="3" borderId="10" xfId="2" applyNumberFormat="1" applyFont="1" applyFill="1" applyBorder="1" applyAlignment="1">
      <alignment horizontal="center" vertical="center"/>
    </xf>
    <xf numFmtId="14" fontId="6" fillId="3" borderId="23" xfId="0" applyNumberFormat="1" applyFont="1" applyFill="1" applyBorder="1" applyAlignment="1">
      <alignment horizontal="center" vertical="center"/>
    </xf>
    <xf numFmtId="14" fontId="6" fillId="3" borderId="17" xfId="0" applyNumberFormat="1" applyFont="1" applyFill="1" applyBorder="1" applyAlignment="1">
      <alignment horizontal="center" vertical="center"/>
    </xf>
    <xf numFmtId="1" fontId="6" fillId="3" borderId="3" xfId="2" applyNumberFormat="1" applyFont="1" applyFill="1" applyBorder="1" applyAlignment="1">
      <alignment horizontal="center" vertical="center"/>
    </xf>
    <xf numFmtId="1" fontId="6" fillId="3" borderId="13" xfId="2" applyNumberFormat="1" applyFont="1" applyFill="1" applyBorder="1" applyAlignment="1">
      <alignment horizontal="center" vertical="center"/>
    </xf>
    <xf numFmtId="0" fontId="59" fillId="8" borderId="54" xfId="0" applyFont="1" applyFill="1" applyBorder="1" applyAlignment="1">
      <alignment horizontal="center" vertical="center"/>
    </xf>
    <xf numFmtId="0" fontId="59" fillId="8" borderId="6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right"/>
    </xf>
    <xf numFmtId="0" fontId="6" fillId="0" borderId="54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26" xfId="0" applyFont="1" applyBorder="1" applyAlignment="1">
      <alignment horizontal="center" vertical="center"/>
    </xf>
    <xf numFmtId="0" fontId="57" fillId="0" borderId="30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59" fillId="8" borderId="61" xfId="0" applyFont="1" applyFill="1" applyBorder="1" applyAlignment="1">
      <alignment horizontal="center" vertical="center"/>
    </xf>
    <xf numFmtId="0" fontId="59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" fontId="6" fillId="4" borderId="2" xfId="2" applyNumberFormat="1" applyFont="1" applyFill="1" applyBorder="1" applyAlignment="1">
      <alignment horizontal="center" vertical="center"/>
    </xf>
    <xf numFmtId="1" fontId="6" fillId="4" borderId="10" xfId="2" applyNumberFormat="1" applyFont="1" applyFill="1" applyBorder="1" applyAlignment="1">
      <alignment horizontal="center" vertical="center"/>
    </xf>
    <xf numFmtId="1" fontId="6" fillId="4" borderId="14" xfId="2" applyNumberFormat="1" applyFont="1" applyFill="1" applyBorder="1" applyAlignment="1">
      <alignment horizontal="center" vertical="center"/>
    </xf>
    <xf numFmtId="1" fontId="6" fillId="4" borderId="20" xfId="2" applyNumberFormat="1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9" fillId="8" borderId="58" xfId="0" applyFont="1" applyFill="1" applyBorder="1" applyAlignment="1">
      <alignment horizontal="center" vertical="center"/>
    </xf>
    <xf numFmtId="0" fontId="59" fillId="8" borderId="24" xfId="0" applyFont="1" applyFill="1" applyBorder="1" applyAlignment="1">
      <alignment horizontal="center" vertical="center"/>
    </xf>
    <xf numFmtId="164" fontId="45" fillId="0" borderId="0" xfId="1" applyFont="1" applyBorder="1" applyAlignment="1">
      <alignment horizontal="center" vertical="center"/>
    </xf>
    <xf numFmtId="164" fontId="45" fillId="0" borderId="0" xfId="1" applyFont="1" applyAlignment="1">
      <alignment horizontal="center" vertical="center"/>
    </xf>
    <xf numFmtId="164" fontId="67" fillId="0" borderId="26" xfId="1" applyFont="1" applyBorder="1" applyAlignment="1">
      <alignment horizontal="center" vertical="center"/>
    </xf>
    <xf numFmtId="164" fontId="67" fillId="0" borderId="0" xfId="1" applyFont="1" applyBorder="1" applyAlignment="1">
      <alignment horizontal="center" vertical="center"/>
    </xf>
    <xf numFmtId="0" fontId="59" fillId="8" borderId="64" xfId="0" applyFont="1" applyFill="1" applyBorder="1" applyAlignment="1">
      <alignment horizontal="center" vertical="center"/>
    </xf>
    <xf numFmtId="0" fontId="59" fillId="8" borderId="65" xfId="0" applyFont="1" applyFill="1" applyBorder="1" applyAlignment="1">
      <alignment horizontal="center" vertical="center"/>
    </xf>
    <xf numFmtId="0" fontId="58" fillId="0" borderId="2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wrapText="1" readingOrder="1"/>
    </xf>
    <xf numFmtId="0" fontId="6" fillId="4" borderId="31" xfId="0" applyFont="1" applyFill="1" applyBorder="1" applyAlignment="1">
      <alignment horizontal="center" wrapText="1" readingOrder="1"/>
    </xf>
    <xf numFmtId="0" fontId="37" fillId="0" borderId="2" xfId="0" applyFont="1" applyBorder="1" applyAlignment="1">
      <alignment horizontal="center" vertical="center" readingOrder="1"/>
    </xf>
    <xf numFmtId="0" fontId="37" fillId="0" borderId="7" xfId="0" applyFont="1" applyBorder="1" applyAlignment="1">
      <alignment horizontal="center" vertical="center" readingOrder="1"/>
    </xf>
    <xf numFmtId="0" fontId="37" fillId="0" borderId="10" xfId="0" applyFont="1" applyBorder="1" applyAlignment="1">
      <alignment horizontal="center" vertical="center" readingOrder="1"/>
    </xf>
    <xf numFmtId="173" fontId="49" fillId="0" borderId="2" xfId="2" applyNumberFormat="1" applyFont="1" applyFill="1" applyBorder="1" applyAlignment="1">
      <alignment horizontal="center" vertical="center" readingOrder="1"/>
    </xf>
    <xf numFmtId="173" fontId="49" fillId="0" borderId="10" xfId="2" applyNumberFormat="1" applyFont="1" applyFill="1" applyBorder="1" applyAlignment="1">
      <alignment horizontal="center" vertical="center" readingOrder="1"/>
    </xf>
    <xf numFmtId="167" fontId="33" fillId="0" borderId="23" xfId="1" applyNumberFormat="1" applyFont="1" applyFill="1" applyBorder="1" applyAlignment="1">
      <alignment horizontal="center" vertical="center" readingOrder="1"/>
    </xf>
    <xf numFmtId="167" fontId="33" fillId="0" borderId="17" xfId="1" applyNumberFormat="1" applyFont="1" applyFill="1" applyBorder="1" applyAlignment="1">
      <alignment horizontal="center" vertical="center" readingOrder="1"/>
    </xf>
    <xf numFmtId="167" fontId="33" fillId="0" borderId="14" xfId="1" applyNumberFormat="1" applyFont="1" applyFill="1" applyBorder="1" applyAlignment="1">
      <alignment horizontal="center" vertical="center" readingOrder="1"/>
    </xf>
    <xf numFmtId="167" fontId="33" fillId="0" borderId="20" xfId="1" applyNumberFormat="1" applyFont="1" applyFill="1" applyBorder="1" applyAlignment="1">
      <alignment horizontal="center" vertical="center" readingOrder="1"/>
    </xf>
    <xf numFmtId="0" fontId="37" fillId="0" borderId="2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174" fontId="33" fillId="0" borderId="2" xfId="1" applyNumberFormat="1" applyFont="1" applyFill="1" applyBorder="1" applyAlignment="1">
      <alignment horizontal="center" vertical="center" readingOrder="1"/>
    </xf>
    <xf numFmtId="174" fontId="33" fillId="0" borderId="10" xfId="1" applyNumberFormat="1" applyFont="1" applyFill="1" applyBorder="1" applyAlignment="1">
      <alignment horizontal="center" vertical="center" readingOrder="1"/>
    </xf>
    <xf numFmtId="0" fontId="4" fillId="0" borderId="0" xfId="0" applyFont="1" applyBorder="1" applyAlignment="1">
      <alignment horizontal="left" vertical="center" wrapText="1" readingOrder="1"/>
    </xf>
    <xf numFmtId="0" fontId="36" fillId="0" borderId="0" xfId="0" applyFont="1" applyFill="1" applyBorder="1" applyAlignment="1">
      <alignment horizontal="center" vertical="center" wrapText="1" readingOrder="1"/>
    </xf>
    <xf numFmtId="0" fontId="29" fillId="0" borderId="0" xfId="0" applyFont="1" applyFill="1" applyBorder="1" applyAlignment="1">
      <alignment horizontal="right" vertical="center" wrapText="1" readingOrder="1"/>
    </xf>
    <xf numFmtId="0" fontId="13" fillId="4" borderId="50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 wrapText="1"/>
    </xf>
    <xf numFmtId="167" fontId="33" fillId="0" borderId="2" xfId="1" applyNumberFormat="1" applyFont="1" applyFill="1" applyBorder="1" applyAlignment="1">
      <alignment horizontal="center" vertical="center" readingOrder="1"/>
    </xf>
    <xf numFmtId="167" fontId="33" fillId="0" borderId="10" xfId="1" applyNumberFormat="1" applyFont="1" applyFill="1" applyBorder="1" applyAlignment="1">
      <alignment horizontal="center" vertical="center" readingOrder="1"/>
    </xf>
    <xf numFmtId="0" fontId="37" fillId="0" borderId="2" xfId="0" applyFont="1" applyBorder="1" applyAlignment="1">
      <alignment horizontal="center" vertical="center" wrapText="1" readingOrder="1"/>
    </xf>
    <xf numFmtId="0" fontId="37" fillId="0" borderId="10" xfId="0" applyFont="1" applyBorder="1" applyAlignment="1">
      <alignment horizontal="center" vertical="center" wrapText="1" readingOrder="1"/>
    </xf>
    <xf numFmtId="167" fontId="35" fillId="3" borderId="2" xfId="1" applyNumberFormat="1" applyFont="1" applyFill="1" applyBorder="1" applyAlignment="1">
      <alignment horizontal="center" vertical="center" wrapText="1"/>
    </xf>
    <xf numFmtId="167" fontId="35" fillId="3" borderId="10" xfId="1" applyNumberFormat="1" applyFont="1" applyFill="1" applyBorder="1" applyAlignment="1">
      <alignment horizontal="center" vertical="center" wrapText="1"/>
    </xf>
    <xf numFmtId="167" fontId="35" fillId="4" borderId="2" xfId="1" applyNumberFormat="1" applyFont="1" applyFill="1" applyBorder="1" applyAlignment="1">
      <alignment horizontal="center" vertical="center" wrapText="1"/>
    </xf>
    <xf numFmtId="167" fontId="35" fillId="4" borderId="10" xfId="1" applyNumberFormat="1" applyFont="1" applyFill="1" applyBorder="1" applyAlignment="1">
      <alignment horizontal="center" vertical="center" wrapText="1"/>
    </xf>
    <xf numFmtId="9" fontId="30" fillId="0" borderId="50" xfId="0" applyNumberFormat="1" applyFont="1" applyFill="1" applyBorder="1" applyAlignment="1">
      <alignment horizontal="center" vertical="center" wrapText="1" readingOrder="1"/>
    </xf>
    <xf numFmtId="9" fontId="30" fillId="0" borderId="51" xfId="0" applyNumberFormat="1" applyFont="1" applyFill="1" applyBorder="1" applyAlignment="1">
      <alignment horizontal="center" vertical="center" wrapText="1" readingOrder="1"/>
    </xf>
    <xf numFmtId="169" fontId="15" fillId="3" borderId="14" xfId="1" applyNumberFormat="1" applyFont="1" applyFill="1" applyBorder="1" applyAlignment="1">
      <alignment horizontal="center" vertical="center" readingOrder="1"/>
    </xf>
    <xf numFmtId="169" fontId="15" fillId="3" borderId="20" xfId="1" applyNumberFormat="1" applyFont="1" applyFill="1" applyBorder="1" applyAlignment="1">
      <alignment horizontal="center" vertical="center" readingOrder="1"/>
    </xf>
    <xf numFmtId="0" fontId="30" fillId="0" borderId="68" xfId="0" applyFont="1" applyFill="1" applyBorder="1" applyAlignment="1">
      <alignment horizontal="center" vertical="center" wrapText="1" readingOrder="1"/>
    </xf>
    <xf numFmtId="0" fontId="30" fillId="0" borderId="69" xfId="0" applyFont="1" applyFill="1" applyBorder="1" applyAlignment="1">
      <alignment horizontal="center" vertical="center" wrapText="1" readingOrder="1"/>
    </xf>
    <xf numFmtId="2" fontId="30" fillId="0" borderId="50" xfId="0" applyNumberFormat="1" applyFont="1" applyFill="1" applyBorder="1" applyAlignment="1">
      <alignment horizontal="center" vertical="center"/>
    </xf>
    <xf numFmtId="2" fontId="30" fillId="0" borderId="51" xfId="0" applyNumberFormat="1" applyFont="1" applyFill="1" applyBorder="1" applyAlignment="1">
      <alignment horizontal="center" vertical="center"/>
    </xf>
    <xf numFmtId="4" fontId="30" fillId="0" borderId="50" xfId="0" applyNumberFormat="1" applyFont="1" applyFill="1" applyBorder="1" applyAlignment="1">
      <alignment horizontal="center" vertical="center" wrapText="1"/>
    </xf>
    <xf numFmtId="4" fontId="30" fillId="0" borderId="51" xfId="0" applyNumberFormat="1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wrapText="1" readingOrder="1"/>
    </xf>
    <xf numFmtId="0" fontId="6" fillId="4" borderId="22" xfId="0" applyFont="1" applyFill="1" applyBorder="1" applyAlignment="1">
      <alignment horizontal="center" wrapText="1" readingOrder="1"/>
    </xf>
    <xf numFmtId="0" fontId="6" fillId="4" borderId="17" xfId="0" applyFont="1" applyFill="1" applyBorder="1" applyAlignment="1">
      <alignment horizontal="center" wrapText="1" readingOrder="1"/>
    </xf>
    <xf numFmtId="0" fontId="6" fillId="4" borderId="14" xfId="0" applyFont="1" applyFill="1" applyBorder="1" applyAlignment="1">
      <alignment horizontal="center" wrapText="1" readingOrder="1"/>
    </xf>
    <xf numFmtId="0" fontId="6" fillId="4" borderId="18" xfId="0" applyFont="1" applyFill="1" applyBorder="1" applyAlignment="1">
      <alignment horizontal="center" wrapText="1" readingOrder="1"/>
    </xf>
    <xf numFmtId="0" fontId="6" fillId="4" borderId="20" xfId="0" applyFont="1" applyFill="1" applyBorder="1" applyAlignment="1">
      <alignment horizontal="center" wrapText="1" readingOrder="1"/>
    </xf>
    <xf numFmtId="0" fontId="13" fillId="0" borderId="22" xfId="0" applyFont="1" applyBorder="1" applyAlignment="1">
      <alignment horizontal="center" vertical="center"/>
    </xf>
    <xf numFmtId="164" fontId="4" fillId="4" borderId="67" xfId="1" applyNumberFormat="1" applyFont="1" applyFill="1" applyBorder="1" applyAlignment="1">
      <alignment horizontal="center" vertical="center" readingOrder="1"/>
    </xf>
    <xf numFmtId="164" fontId="4" fillId="4" borderId="57" xfId="1" applyNumberFormat="1" applyFont="1" applyFill="1" applyBorder="1" applyAlignment="1">
      <alignment horizontal="center" vertical="center" readingOrder="1"/>
    </xf>
    <xf numFmtId="164" fontId="4" fillId="4" borderId="55" xfId="1" applyNumberFormat="1" applyFont="1" applyFill="1" applyBorder="1" applyAlignment="1">
      <alignment horizontal="center" vertical="center" readingOrder="1"/>
    </xf>
    <xf numFmtId="164" fontId="4" fillId="4" borderId="49" xfId="1" applyNumberFormat="1" applyFont="1" applyFill="1" applyBorder="1" applyAlignment="1">
      <alignment horizontal="center" vertical="center" readingOrder="1"/>
    </xf>
    <xf numFmtId="164" fontId="4" fillId="4" borderId="7" xfId="1" applyNumberFormat="1" applyFont="1" applyFill="1" applyBorder="1" applyAlignment="1">
      <alignment horizontal="center" vertical="center" readingOrder="1"/>
    </xf>
    <xf numFmtId="164" fontId="4" fillId="4" borderId="70" xfId="1" applyNumberFormat="1" applyFont="1" applyFill="1" applyBorder="1" applyAlignment="1">
      <alignment horizontal="center" vertical="center" readingOrder="1"/>
    </xf>
    <xf numFmtId="167" fontId="35" fillId="9" borderId="2" xfId="1" applyNumberFormat="1" applyFont="1" applyFill="1" applyBorder="1" applyAlignment="1">
      <alignment horizontal="center" vertical="center" wrapText="1"/>
    </xf>
    <xf numFmtId="167" fontId="35" fillId="9" borderId="10" xfId="1" applyNumberFormat="1" applyFont="1" applyFill="1" applyBorder="1" applyAlignment="1">
      <alignment horizontal="center" vertical="center" wrapText="1"/>
    </xf>
    <xf numFmtId="164" fontId="33" fillId="0" borderId="23" xfId="1" applyNumberFormat="1" applyFont="1" applyFill="1" applyBorder="1" applyAlignment="1">
      <alignment horizontal="center" vertical="center" readingOrder="1"/>
    </xf>
    <xf numFmtId="164" fontId="33" fillId="0" borderId="17" xfId="1" applyNumberFormat="1" applyFont="1" applyFill="1" applyBorder="1" applyAlignment="1">
      <alignment horizontal="center" vertical="center" readingOrder="1"/>
    </xf>
    <xf numFmtId="164" fontId="33" fillId="0" borderId="14" xfId="1" applyNumberFormat="1" applyFont="1" applyFill="1" applyBorder="1" applyAlignment="1">
      <alignment horizontal="center" vertical="center" readingOrder="1"/>
    </xf>
    <xf numFmtId="164" fontId="33" fillId="0" borderId="20" xfId="1" applyNumberFormat="1" applyFont="1" applyFill="1" applyBorder="1" applyAlignment="1">
      <alignment horizontal="center" vertical="center" readingOrder="1"/>
    </xf>
    <xf numFmtId="175" fontId="33" fillId="0" borderId="2" xfId="1" applyNumberFormat="1" applyFont="1" applyFill="1" applyBorder="1" applyAlignment="1">
      <alignment horizontal="center" vertical="center" readingOrder="1"/>
    </xf>
    <xf numFmtId="175" fontId="33" fillId="0" borderId="10" xfId="1" applyNumberFormat="1" applyFont="1" applyFill="1" applyBorder="1" applyAlignment="1">
      <alignment horizontal="center" vertical="center" readingOrder="1"/>
    </xf>
    <xf numFmtId="0" fontId="53" fillId="0" borderId="0" xfId="0" applyFont="1" applyFill="1" applyBorder="1" applyAlignment="1">
      <alignment horizontal="center" vertical="center" wrapText="1" readingOrder="1"/>
    </xf>
    <xf numFmtId="164" fontId="15" fillId="3" borderId="2" xfId="1" applyNumberFormat="1" applyFont="1" applyFill="1" applyBorder="1" applyAlignment="1">
      <alignment horizontal="center" vertical="center" readingOrder="1"/>
    </xf>
    <xf numFmtId="164" fontId="15" fillId="3" borderId="10" xfId="1" applyNumberFormat="1" applyFont="1" applyFill="1" applyBorder="1" applyAlignment="1">
      <alignment horizontal="center" vertical="center" readingOrder="1"/>
    </xf>
    <xf numFmtId="0" fontId="13" fillId="4" borderId="63" xfId="0" applyFont="1" applyFill="1" applyBorder="1" applyAlignment="1">
      <alignment horizontal="center"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52" fillId="12" borderId="67" xfId="0" applyFont="1" applyFill="1" applyBorder="1" applyAlignment="1">
      <alignment horizontal="center" vertical="center" wrapText="1" readingOrder="1"/>
    </xf>
    <xf numFmtId="0" fontId="52" fillId="12" borderId="55" xfId="0" applyFont="1" applyFill="1" applyBorder="1" applyAlignment="1">
      <alignment horizontal="center" vertical="center" wrapText="1" readingOrder="1"/>
    </xf>
    <xf numFmtId="164" fontId="30" fillId="0" borderId="16" xfId="1" applyNumberFormat="1" applyFont="1" applyFill="1" applyBorder="1" applyAlignment="1">
      <alignment horizontal="center" vertical="center" wrapText="1" readingOrder="1"/>
    </xf>
    <xf numFmtId="164" fontId="30" fillId="0" borderId="19" xfId="1" applyNumberFormat="1" applyFont="1" applyFill="1" applyBorder="1" applyAlignment="1">
      <alignment horizontal="center" vertical="center" wrapText="1" readingOrder="1"/>
    </xf>
    <xf numFmtId="164" fontId="30" fillId="0" borderId="29" xfId="1" applyNumberFormat="1" applyFont="1" applyFill="1" applyBorder="1" applyAlignment="1">
      <alignment horizontal="center" vertical="center" wrapText="1" readingOrder="1"/>
    </xf>
    <xf numFmtId="0" fontId="37" fillId="0" borderId="7" xfId="0" applyFont="1" applyBorder="1" applyAlignment="1">
      <alignment horizontal="center" vertical="center" wrapText="1" readingOrder="1"/>
    </xf>
    <xf numFmtId="0" fontId="42" fillId="0" borderId="0" xfId="0" applyFont="1" applyFill="1" applyBorder="1" applyAlignment="1">
      <alignment horizontal="center" vertical="center" wrapText="1" readingOrder="1"/>
    </xf>
    <xf numFmtId="0" fontId="52" fillId="12" borderId="49" xfId="0" applyFont="1" applyFill="1" applyBorder="1" applyAlignment="1">
      <alignment horizontal="center" vertical="center" wrapText="1" readingOrder="1"/>
    </xf>
    <xf numFmtId="0" fontId="52" fillId="12" borderId="70" xfId="0" applyFont="1" applyFill="1" applyBorder="1" applyAlignment="1">
      <alignment horizontal="center" vertical="center" wrapText="1" readingOrder="1"/>
    </xf>
    <xf numFmtId="167" fontId="33" fillId="0" borderId="22" xfId="1" applyNumberFormat="1" applyFont="1" applyFill="1" applyBorder="1" applyAlignment="1">
      <alignment horizontal="center" vertical="center" readingOrder="1"/>
    </xf>
    <xf numFmtId="167" fontId="33" fillId="0" borderId="18" xfId="1" applyNumberFormat="1" applyFont="1" applyFill="1" applyBorder="1" applyAlignment="1">
      <alignment horizontal="center" vertical="center" readingOrder="1"/>
    </xf>
    <xf numFmtId="2" fontId="17" fillId="0" borderId="54" xfId="1" applyNumberFormat="1" applyFont="1" applyFill="1" applyBorder="1" applyAlignment="1">
      <alignment horizontal="left" vertical="center"/>
    </xf>
    <xf numFmtId="2" fontId="17" fillId="0" borderId="24" xfId="1" applyNumberFormat="1" applyFont="1" applyFill="1" applyBorder="1" applyAlignment="1">
      <alignment horizontal="left" vertical="center"/>
    </xf>
    <xf numFmtId="0" fontId="46" fillId="0" borderId="23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7" fillId="0" borderId="54" xfId="1" applyNumberFormat="1" applyFont="1" applyFill="1" applyBorder="1" applyAlignment="1">
      <alignment horizontal="left" vertical="center"/>
    </xf>
    <xf numFmtId="0" fontId="17" fillId="0" borderId="24" xfId="1" applyNumberFormat="1" applyFont="1" applyFill="1" applyBorder="1" applyAlignment="1">
      <alignment horizontal="left" vertical="center"/>
    </xf>
    <xf numFmtId="10" fontId="33" fillId="0" borderId="54" xfId="2" applyNumberFormat="1" applyFont="1" applyFill="1" applyBorder="1" applyAlignment="1">
      <alignment horizontal="left" vertical="center"/>
    </xf>
    <xf numFmtId="10" fontId="33" fillId="0" borderId="24" xfId="2" applyNumberFormat="1" applyFont="1" applyFill="1" applyBorder="1" applyAlignment="1">
      <alignment horizontal="left" vertical="center"/>
    </xf>
    <xf numFmtId="0" fontId="13" fillId="6" borderId="63" xfId="0" applyFont="1" applyFill="1" applyBorder="1" applyAlignment="1">
      <alignment horizontal="center" vertical="center" wrapText="1"/>
    </xf>
    <xf numFmtId="0" fontId="13" fillId="6" borderId="52" xfId="0" applyFont="1" applyFill="1" applyBorder="1" applyAlignment="1">
      <alignment horizontal="center" vertical="center" wrapText="1"/>
    </xf>
    <xf numFmtId="164" fontId="4" fillId="6" borderId="67" xfId="1" applyNumberFormat="1" applyFont="1" applyFill="1" applyBorder="1" applyAlignment="1">
      <alignment horizontal="center" vertical="center" readingOrder="1"/>
    </xf>
    <xf numFmtId="164" fontId="4" fillId="6" borderId="57" xfId="1" applyNumberFormat="1" applyFont="1" applyFill="1" applyBorder="1" applyAlignment="1">
      <alignment horizontal="center" vertical="center" readingOrder="1"/>
    </xf>
    <xf numFmtId="164" fontId="4" fillId="6" borderId="55" xfId="1" applyNumberFormat="1" applyFont="1" applyFill="1" applyBorder="1" applyAlignment="1">
      <alignment horizontal="center" vertical="center" readingOrder="1"/>
    </xf>
    <xf numFmtId="0" fontId="65" fillId="0" borderId="0" xfId="0" applyFont="1" applyFill="1" applyBorder="1" applyAlignment="1">
      <alignment horizontal="center" vertical="center" wrapText="1" readingOrder="1"/>
    </xf>
    <xf numFmtId="0" fontId="26" fillId="2" borderId="2" xfId="4" applyFont="1" applyFill="1" applyBorder="1" applyAlignment="1">
      <alignment horizontal="center" vertical="center"/>
    </xf>
    <xf numFmtId="0" fontId="26" fillId="2" borderId="7" xfId="4" applyFont="1" applyFill="1" applyBorder="1" applyAlignment="1">
      <alignment horizontal="center" vertical="center"/>
    </xf>
    <xf numFmtId="0" fontId="26" fillId="2" borderId="10" xfId="4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 wrapText="1" readingOrder="1"/>
    </xf>
    <xf numFmtId="0" fontId="30" fillId="0" borderId="64" xfId="0" applyFont="1" applyFill="1" applyBorder="1" applyAlignment="1">
      <alignment horizontal="center" vertical="center" wrapText="1" readingOrder="1"/>
    </xf>
    <xf numFmtId="0" fontId="30" fillId="0" borderId="72" xfId="0" applyFont="1" applyFill="1" applyBorder="1" applyAlignment="1">
      <alignment horizontal="center" vertical="center" wrapText="1" readingOrder="1"/>
    </xf>
    <xf numFmtId="0" fontId="30" fillId="0" borderId="60" xfId="0" applyFont="1" applyFill="1" applyBorder="1" applyAlignment="1">
      <alignment horizontal="left" vertical="center" wrapText="1" readingOrder="1"/>
    </xf>
    <xf numFmtId="0" fontId="30" fillId="0" borderId="58" xfId="0" applyFont="1" applyFill="1" applyBorder="1" applyAlignment="1">
      <alignment horizontal="left" vertical="center" wrapText="1" readingOrder="1"/>
    </xf>
    <xf numFmtId="0" fontId="30" fillId="0" borderId="60" xfId="0" applyFont="1" applyFill="1" applyBorder="1" applyAlignment="1">
      <alignment horizontal="center" vertical="center" wrapText="1" readingOrder="1"/>
    </xf>
    <xf numFmtId="0" fontId="30" fillId="0" borderId="58" xfId="0" applyFont="1" applyFill="1" applyBorder="1" applyAlignment="1">
      <alignment horizontal="center" vertical="center" wrapText="1" readingOrder="1"/>
    </xf>
    <xf numFmtId="168" fontId="30" fillId="0" borderId="60" xfId="1" applyNumberFormat="1" applyFont="1" applyFill="1" applyBorder="1" applyAlignment="1">
      <alignment horizontal="center" vertical="center" readingOrder="1"/>
    </xf>
    <xf numFmtId="168" fontId="30" fillId="0" borderId="58" xfId="1" applyNumberFormat="1" applyFont="1" applyFill="1" applyBorder="1" applyAlignment="1">
      <alignment horizontal="center" vertical="center" readingOrder="1"/>
    </xf>
    <xf numFmtId="49" fontId="30" fillId="0" borderId="60" xfId="1" applyNumberFormat="1" applyFont="1" applyFill="1" applyBorder="1" applyAlignment="1">
      <alignment horizontal="center" vertical="center" wrapText="1" readingOrder="1"/>
    </xf>
    <xf numFmtId="49" fontId="30" fillId="0" borderId="58" xfId="1" applyNumberFormat="1" applyFont="1" applyFill="1" applyBorder="1" applyAlignment="1">
      <alignment horizontal="center" vertical="center" wrapText="1" readingOrder="1"/>
    </xf>
    <xf numFmtId="164" fontId="30" fillId="0" borderId="60" xfId="1" applyNumberFormat="1" applyFont="1" applyFill="1" applyBorder="1" applyAlignment="1">
      <alignment horizontal="center" vertical="center" wrapText="1" readingOrder="1"/>
    </xf>
    <xf numFmtId="164" fontId="30" fillId="0" borderId="58" xfId="1" applyNumberFormat="1" applyFont="1" applyFill="1" applyBorder="1" applyAlignment="1">
      <alignment horizontal="center" vertical="center" wrapText="1" readingOrder="1"/>
    </xf>
    <xf numFmtId="164" fontId="30" fillId="0" borderId="60" xfId="1" applyFont="1" applyFill="1" applyBorder="1" applyAlignment="1">
      <alignment horizontal="center" vertical="center" wrapText="1" readingOrder="1"/>
    </xf>
    <xf numFmtId="164" fontId="30" fillId="0" borderId="58" xfId="1" applyFont="1" applyFill="1" applyBorder="1" applyAlignment="1">
      <alignment horizontal="center" vertical="center" wrapText="1" readingOrder="1"/>
    </xf>
    <xf numFmtId="167" fontId="49" fillId="0" borderId="23" xfId="1" applyNumberFormat="1" applyFont="1" applyFill="1" applyBorder="1" applyAlignment="1">
      <alignment horizontal="center" vertical="center" readingOrder="1"/>
    </xf>
    <xf numFmtId="167" fontId="49" fillId="0" borderId="22" xfId="1" applyNumberFormat="1" applyFont="1" applyFill="1" applyBorder="1" applyAlignment="1">
      <alignment horizontal="center" vertical="center" readingOrder="1"/>
    </xf>
    <xf numFmtId="167" fontId="49" fillId="0" borderId="17" xfId="1" applyNumberFormat="1" applyFont="1" applyFill="1" applyBorder="1" applyAlignment="1">
      <alignment horizontal="center" vertical="center" readingOrder="1"/>
    </xf>
    <xf numFmtId="167" fontId="49" fillId="0" borderId="14" xfId="1" applyNumberFormat="1" applyFont="1" applyFill="1" applyBorder="1" applyAlignment="1">
      <alignment horizontal="center" vertical="center" readingOrder="1"/>
    </xf>
    <xf numFmtId="167" fontId="49" fillId="0" borderId="18" xfId="1" applyNumberFormat="1" applyFont="1" applyFill="1" applyBorder="1" applyAlignment="1">
      <alignment horizontal="center" vertical="center" readingOrder="1"/>
    </xf>
    <xf numFmtId="167" fontId="49" fillId="0" borderId="20" xfId="1" applyNumberFormat="1" applyFont="1" applyFill="1" applyBorder="1" applyAlignment="1">
      <alignment horizontal="center" vertical="center" readingOrder="1"/>
    </xf>
    <xf numFmtId="0" fontId="13" fillId="3" borderId="63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164" fontId="33" fillId="0" borderId="2" xfId="1" applyNumberFormat="1" applyFont="1" applyFill="1" applyBorder="1" applyAlignment="1">
      <alignment horizontal="center" vertical="center" readingOrder="1"/>
    </xf>
    <xf numFmtId="164" fontId="33" fillId="0" borderId="10" xfId="1" applyNumberFormat="1" applyFont="1" applyFill="1" applyBorder="1" applyAlignment="1">
      <alignment horizontal="center" vertical="center" readingOrder="1"/>
    </xf>
    <xf numFmtId="0" fontId="6" fillId="4" borderId="23" xfId="0" applyFont="1" applyFill="1" applyBorder="1" applyAlignment="1">
      <alignment horizontal="center" vertical="center" wrapText="1" readingOrder="1"/>
    </xf>
    <xf numFmtId="0" fontId="6" fillId="4" borderId="22" xfId="0" applyFont="1" applyFill="1" applyBorder="1" applyAlignment="1">
      <alignment horizontal="center" vertical="center" wrapText="1" readingOrder="1"/>
    </xf>
    <xf numFmtId="0" fontId="6" fillId="4" borderId="17" xfId="0" applyFont="1" applyFill="1" applyBorder="1" applyAlignment="1">
      <alignment horizontal="center" vertical="center" wrapText="1" readingOrder="1"/>
    </xf>
    <xf numFmtId="0" fontId="6" fillId="4" borderId="14" xfId="0" applyFont="1" applyFill="1" applyBorder="1" applyAlignment="1">
      <alignment horizontal="center" vertical="center" wrapText="1" readingOrder="1"/>
    </xf>
    <xf numFmtId="0" fontId="6" fillId="4" borderId="18" xfId="0" applyFont="1" applyFill="1" applyBorder="1" applyAlignment="1">
      <alignment horizontal="center" vertical="center" wrapText="1" readingOrder="1"/>
    </xf>
    <xf numFmtId="0" fontId="6" fillId="4" borderId="20" xfId="0" applyFont="1" applyFill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horizontal="right" vertical="center" wrapText="1" readingOrder="1"/>
    </xf>
    <xf numFmtId="166" fontId="80" fillId="0" borderId="24" xfId="1" applyNumberFormat="1" applyFont="1" applyFill="1" applyBorder="1" applyAlignment="1">
      <alignment horizontal="center" vertical="center" readingOrder="1"/>
    </xf>
    <xf numFmtId="0" fontId="28" fillId="0" borderId="24" xfId="0" applyFont="1" applyFill="1" applyBorder="1" applyAlignment="1">
      <alignment horizontal="center" vertical="center" readingOrder="1"/>
    </xf>
    <xf numFmtId="167" fontId="28" fillId="0" borderId="24" xfId="1" applyNumberFormat="1" applyFont="1" applyFill="1" applyBorder="1" applyAlignment="1">
      <alignment horizontal="center" vertical="center" readingOrder="1"/>
    </xf>
    <xf numFmtId="0" fontId="28" fillId="0" borderId="24" xfId="0" applyFont="1" applyFill="1" applyBorder="1" applyAlignment="1">
      <alignment horizontal="center" vertical="center"/>
    </xf>
    <xf numFmtId="178" fontId="28" fillId="0" borderId="24" xfId="1" applyNumberFormat="1" applyFont="1" applyFill="1" applyBorder="1" applyAlignment="1">
      <alignment horizontal="center" vertical="center" readingOrder="1"/>
    </xf>
    <xf numFmtId="0" fontId="28" fillId="0" borderId="24" xfId="0" applyFont="1" applyFill="1" applyBorder="1" applyAlignment="1">
      <alignment horizontal="center" vertical="center" wrapText="1" readingOrder="1"/>
    </xf>
    <xf numFmtId="173" fontId="38" fillId="0" borderId="24" xfId="2" applyNumberFormat="1" applyFont="1" applyFill="1" applyBorder="1" applyAlignment="1">
      <alignment horizontal="center" vertical="center" readingOrder="1"/>
    </xf>
    <xf numFmtId="167" fontId="38" fillId="0" borderId="24" xfId="1" applyNumberFormat="1" applyFont="1" applyFill="1" applyBorder="1" applyAlignment="1">
      <alignment horizontal="center" vertical="center" readingOrder="1"/>
    </xf>
    <xf numFmtId="166" fontId="30" fillId="0" borderId="60" xfId="1" applyNumberFormat="1" applyFont="1" applyFill="1" applyBorder="1" applyAlignment="1">
      <alignment horizontal="center" vertical="center" wrapText="1" readingOrder="1"/>
    </xf>
    <xf numFmtId="166" fontId="30" fillId="0" borderId="58" xfId="1" applyNumberFormat="1" applyFont="1" applyFill="1" applyBorder="1" applyAlignment="1">
      <alignment horizontal="center" vertical="center" wrapText="1" readingOrder="1"/>
    </xf>
    <xf numFmtId="0" fontId="30" fillId="0" borderId="24" xfId="0" applyFont="1" applyFill="1" applyBorder="1" applyAlignment="1">
      <alignment horizontal="center" vertical="center" wrapText="1" readingOrder="1"/>
    </xf>
    <xf numFmtId="167" fontId="30" fillId="0" borderId="24" xfId="1" applyNumberFormat="1" applyFont="1" applyFill="1" applyBorder="1" applyAlignment="1">
      <alignment horizontal="center" vertical="center" wrapText="1" readingOrder="1"/>
    </xf>
    <xf numFmtId="166" fontId="30" fillId="0" borderId="75" xfId="1" applyNumberFormat="1" applyFont="1" applyFill="1" applyBorder="1" applyAlignment="1">
      <alignment horizontal="center" vertical="center" wrapText="1" readingOrder="1"/>
    </xf>
    <xf numFmtId="166" fontId="30" fillId="0" borderId="71" xfId="1" applyNumberFormat="1" applyFont="1" applyFill="1" applyBorder="1" applyAlignment="1">
      <alignment horizontal="center" vertical="center" wrapText="1" readingOrder="1"/>
    </xf>
    <xf numFmtId="166" fontId="30" fillId="0" borderId="68" xfId="1" applyNumberFormat="1" applyFont="1" applyFill="1" applyBorder="1" applyAlignment="1">
      <alignment horizontal="center" vertical="center" wrapText="1" readingOrder="1"/>
    </xf>
    <xf numFmtId="166" fontId="30" fillId="0" borderId="69" xfId="1" applyNumberFormat="1" applyFont="1" applyFill="1" applyBorder="1" applyAlignment="1">
      <alignment horizontal="center" vertical="center" wrapText="1" readingOrder="1"/>
    </xf>
    <xf numFmtId="166" fontId="30" fillId="0" borderId="50" xfId="1" applyNumberFormat="1" applyFont="1" applyFill="1" applyBorder="1" applyAlignment="1">
      <alignment horizontal="center" vertical="center" wrapText="1" readingOrder="1"/>
    </xf>
    <xf numFmtId="166" fontId="30" fillId="0" borderId="51" xfId="1" applyNumberFormat="1" applyFont="1" applyFill="1" applyBorder="1" applyAlignment="1">
      <alignment horizontal="center" vertical="center" wrapText="1" readingOrder="1"/>
    </xf>
    <xf numFmtId="168" fontId="30" fillId="0" borderId="50" xfId="1" applyNumberFormat="1" applyFont="1" applyFill="1" applyBorder="1" applyAlignment="1">
      <alignment horizontal="center" vertical="center" readingOrder="1"/>
    </xf>
    <xf numFmtId="168" fontId="30" fillId="0" borderId="51" xfId="1" applyNumberFormat="1" applyFont="1" applyFill="1" applyBorder="1" applyAlignment="1">
      <alignment horizontal="center" vertical="center" readingOrder="1"/>
    </xf>
    <xf numFmtId="166" fontId="38" fillId="0" borderId="0" xfId="1" applyNumberFormat="1" applyFont="1" applyFill="1" applyBorder="1" applyAlignment="1">
      <alignment horizontal="center" vertical="center" wrapText="1"/>
    </xf>
    <xf numFmtId="166" fontId="28" fillId="0" borderId="22" xfId="1" applyNumberFormat="1" applyFont="1" applyFill="1" applyBorder="1" applyAlignment="1">
      <alignment horizontal="center" vertical="center" readingOrder="1"/>
    </xf>
    <xf numFmtId="164" fontId="38" fillId="0" borderId="0" xfId="1" applyFont="1" applyFill="1" applyBorder="1" applyAlignment="1">
      <alignment horizontal="center" vertical="center"/>
    </xf>
    <xf numFmtId="164" fontId="17" fillId="0" borderId="50" xfId="1" applyFont="1" applyFill="1" applyBorder="1" applyAlignment="1">
      <alignment horizontal="center" vertical="center"/>
    </xf>
    <xf numFmtId="164" fontId="17" fillId="0" borderId="51" xfId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4" fontId="32" fillId="3" borderId="24" xfId="1" applyNumberFormat="1" applyFont="1" applyFill="1" applyBorder="1" applyAlignment="1">
      <alignment horizontal="right" vertical="center"/>
    </xf>
    <xf numFmtId="0" fontId="32" fillId="3" borderId="24" xfId="1" applyNumberFormat="1" applyFont="1" applyFill="1" applyBorder="1" applyAlignment="1">
      <alignment horizontal="right" vertical="center"/>
    </xf>
    <xf numFmtId="0" fontId="17" fillId="3" borderId="54" xfId="1" applyNumberFormat="1" applyFont="1" applyFill="1" applyBorder="1" applyAlignment="1">
      <alignment horizontal="left" vertical="center"/>
    </xf>
    <xf numFmtId="0" fontId="17" fillId="3" borderId="24" xfId="1" applyNumberFormat="1" applyFont="1" applyFill="1" applyBorder="1" applyAlignment="1">
      <alignment horizontal="left" vertical="center"/>
    </xf>
    <xf numFmtId="164" fontId="18" fillId="0" borderId="50" xfId="1" applyFont="1" applyFill="1" applyBorder="1" applyAlignment="1">
      <alignment horizontal="center" vertical="center"/>
    </xf>
    <xf numFmtId="164" fontId="18" fillId="0" borderId="51" xfId="1" applyFont="1" applyFill="1" applyBorder="1" applyAlignment="1">
      <alignment horizontal="center" vertical="center"/>
    </xf>
    <xf numFmtId="10" fontId="31" fillId="0" borderId="24" xfId="2" applyNumberFormat="1" applyFont="1" applyFill="1" applyBorder="1" applyAlignment="1">
      <alignment horizontal="right" vertical="center"/>
    </xf>
    <xf numFmtId="169" fontId="18" fillId="0" borderId="24" xfId="1" applyNumberFormat="1" applyFont="1" applyFill="1" applyBorder="1" applyAlignment="1">
      <alignment horizontal="center" vertical="center"/>
    </xf>
    <xf numFmtId="164" fontId="17" fillId="0" borderId="52" xfId="1" applyFont="1" applyFill="1" applyBorder="1" applyAlignment="1">
      <alignment horizontal="center" vertical="center"/>
    </xf>
    <xf numFmtId="9" fontId="30" fillId="0" borderId="24" xfId="0" applyNumberFormat="1" applyFont="1" applyFill="1" applyBorder="1" applyAlignment="1">
      <alignment horizontal="center" vertical="center" wrapText="1" readingOrder="1"/>
    </xf>
    <xf numFmtId="2" fontId="30" fillId="0" borderId="24" xfId="0" applyNumberFormat="1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167" fontId="78" fillId="4" borderId="49" xfId="1" applyNumberFormat="1" applyFont="1" applyFill="1" applyBorder="1" applyAlignment="1">
      <alignment horizontal="center" vertical="center" readingOrder="1"/>
    </xf>
    <xf numFmtId="167" fontId="78" fillId="4" borderId="70" xfId="1" applyNumberFormat="1" applyFont="1" applyFill="1" applyBorder="1" applyAlignment="1">
      <alignment horizontal="center" vertical="center" readingOrder="1"/>
    </xf>
    <xf numFmtId="0" fontId="29" fillId="0" borderId="18" xfId="0" applyFont="1" applyFill="1" applyBorder="1" applyAlignment="1">
      <alignment horizontal="right" vertical="center" wrapText="1" readingOrder="1"/>
    </xf>
    <xf numFmtId="9" fontId="30" fillId="0" borderId="60" xfId="0" applyNumberFormat="1" applyFont="1" applyFill="1" applyBorder="1" applyAlignment="1">
      <alignment horizontal="center" vertical="center" wrapText="1" readingOrder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164" fontId="35" fillId="3" borderId="14" xfId="1" applyFont="1" applyFill="1" applyBorder="1" applyAlignment="1">
      <alignment horizontal="center" vertical="center" wrapText="1"/>
    </xf>
    <xf numFmtId="164" fontId="35" fillId="3" borderId="18" xfId="1" applyFont="1" applyFill="1" applyBorder="1" applyAlignment="1">
      <alignment horizontal="center" vertical="center" wrapText="1"/>
    </xf>
    <xf numFmtId="0" fontId="36" fillId="0" borderId="26" xfId="1" applyNumberFormat="1" applyFont="1" applyBorder="1" applyAlignment="1">
      <alignment horizontal="center" vertical="center" wrapText="1" readingOrder="1"/>
    </xf>
    <xf numFmtId="0" fontId="36" fillId="0" borderId="0" xfId="1" applyNumberFormat="1" applyFont="1" applyBorder="1" applyAlignment="1">
      <alignment horizontal="center" vertical="center" wrapText="1" readingOrder="1"/>
    </xf>
    <xf numFmtId="164" fontId="29" fillId="0" borderId="14" xfId="1" applyFont="1" applyBorder="1" applyAlignment="1">
      <alignment horizontal="right" vertical="center" wrapText="1" readingOrder="1"/>
    </xf>
    <xf numFmtId="164" fontId="29" fillId="0" borderId="18" xfId="1" applyFont="1" applyBorder="1" applyAlignment="1">
      <alignment horizontal="right" vertical="center" wrapText="1" readingOrder="1"/>
    </xf>
    <xf numFmtId="0" fontId="30" fillId="0" borderId="0" xfId="0" applyFont="1" applyFill="1"/>
    <xf numFmtId="0" fontId="29" fillId="0" borderId="0" xfId="0" applyFont="1" applyFill="1" applyBorder="1" applyAlignment="1">
      <alignment horizontal="center" vertical="center" wrapText="1" readingOrder="1"/>
    </xf>
    <xf numFmtId="0" fontId="30" fillId="0" borderId="49" xfId="0" applyFont="1" applyFill="1" applyBorder="1" applyAlignment="1">
      <alignment horizontal="center" vertical="center" wrapText="1" readingOrder="1"/>
    </xf>
    <xf numFmtId="0" fontId="30" fillId="0" borderId="70" xfId="0" applyFont="1" applyFill="1" applyBorder="1" applyAlignment="1">
      <alignment horizontal="center" vertical="center" wrapText="1" readingOrder="1"/>
    </xf>
    <xf numFmtId="0" fontId="30" fillId="0" borderId="77" xfId="0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30" fillId="0" borderId="78" xfId="0" applyFont="1" applyFill="1" applyBorder="1" applyAlignment="1">
      <alignment horizontal="center" vertical="center" wrapText="1"/>
    </xf>
    <xf numFmtId="166" fontId="30" fillId="0" borderId="76" xfId="1" applyNumberFormat="1" applyFont="1" applyFill="1" applyBorder="1" applyAlignment="1">
      <alignment horizontal="center" vertical="center" readingOrder="1"/>
    </xf>
    <xf numFmtId="166" fontId="30" fillId="0" borderId="78" xfId="1" applyNumberFormat="1" applyFont="1" applyFill="1" applyBorder="1" applyAlignment="1">
      <alignment horizontal="center" vertical="center" readingOrder="1"/>
    </xf>
    <xf numFmtId="164" fontId="30" fillId="0" borderId="76" xfId="1" applyNumberFormat="1" applyFont="1" applyFill="1" applyBorder="1" applyAlignment="1">
      <alignment horizontal="center" vertical="center" readingOrder="1"/>
    </xf>
    <xf numFmtId="164" fontId="30" fillId="0" borderId="56" xfId="1" applyNumberFormat="1" applyFont="1" applyFill="1" applyBorder="1" applyAlignment="1">
      <alignment horizontal="center" vertical="center" readingOrder="1"/>
    </xf>
    <xf numFmtId="164" fontId="30" fillId="0" borderId="78" xfId="1" applyNumberFormat="1" applyFont="1" applyFill="1" applyBorder="1" applyAlignment="1">
      <alignment horizontal="center" vertical="center" readingOrder="1"/>
    </xf>
    <xf numFmtId="167" fontId="30" fillId="0" borderId="60" xfId="1" applyNumberFormat="1" applyFont="1" applyFill="1" applyBorder="1" applyAlignment="1">
      <alignment horizontal="center" vertical="center" readingOrder="1"/>
    </xf>
    <xf numFmtId="167" fontId="30" fillId="0" borderId="24" xfId="1" applyNumberFormat="1" applyFont="1" applyFill="1" applyBorder="1" applyAlignment="1">
      <alignment vertical="center" readingOrder="1"/>
    </xf>
    <xf numFmtId="167" fontId="30" fillId="0" borderId="75" xfId="1" applyNumberFormat="1" applyFont="1" applyFill="1" applyBorder="1" applyAlignment="1">
      <alignment horizontal="center" vertical="center" readingOrder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79" xfId="0" applyFont="1" applyFill="1" applyBorder="1" applyAlignment="1">
      <alignment horizontal="center" vertical="center" wrapText="1"/>
    </xf>
    <xf numFmtId="166" fontId="30" fillId="0" borderId="84" xfId="1" applyNumberFormat="1" applyFont="1" applyFill="1" applyBorder="1" applyAlignment="1">
      <alignment horizontal="center" vertical="center" readingOrder="1"/>
    </xf>
    <xf numFmtId="166" fontId="30" fillId="0" borderId="83" xfId="1" applyNumberFormat="1" applyFont="1" applyFill="1" applyBorder="1" applyAlignment="1">
      <alignment horizontal="center" vertical="center" readingOrder="1"/>
    </xf>
    <xf numFmtId="164" fontId="30" fillId="0" borderId="80" xfId="1" applyNumberFormat="1" applyFont="1" applyFill="1" applyBorder="1" applyAlignment="1">
      <alignment horizontal="center" vertical="center" readingOrder="1"/>
    </xf>
    <xf numFmtId="164" fontId="30" fillId="0" borderId="0" xfId="1" applyNumberFormat="1" applyFont="1" applyFill="1" applyBorder="1" applyAlignment="1">
      <alignment horizontal="center" vertical="center" readingOrder="1"/>
    </xf>
    <xf numFmtId="164" fontId="30" fillId="0" borderId="79" xfId="1" applyNumberFormat="1" applyFont="1" applyFill="1" applyBorder="1" applyAlignment="1">
      <alignment horizontal="center" vertical="center" readingOrder="1"/>
    </xf>
    <xf numFmtId="167" fontId="30" fillId="0" borderId="59" xfId="1" applyNumberFormat="1" applyFont="1" applyFill="1" applyBorder="1" applyAlignment="1">
      <alignment horizontal="center" vertical="center" readingOrder="1"/>
    </xf>
    <xf numFmtId="167" fontId="30" fillId="0" borderId="82" xfId="1" applyNumberFormat="1" applyFont="1" applyFill="1" applyBorder="1" applyAlignment="1">
      <alignment horizontal="center" vertical="center" readingOrder="1"/>
    </xf>
    <xf numFmtId="167" fontId="30" fillId="0" borderId="81" xfId="1" applyNumberFormat="1" applyFont="1" applyFill="1" applyBorder="1" applyAlignment="1">
      <alignment horizontal="center" vertical="center" readingOrder="1"/>
    </xf>
    <xf numFmtId="0" fontId="30" fillId="0" borderId="59" xfId="0" applyFont="1" applyFill="1" applyBorder="1" applyAlignment="1">
      <alignment horizontal="center" vertical="center" wrapText="1" readingOrder="1"/>
    </xf>
    <xf numFmtId="166" fontId="30" fillId="0" borderId="60" xfId="1" applyNumberFormat="1" applyFont="1" applyFill="1" applyBorder="1" applyAlignment="1">
      <alignment horizontal="center" vertical="center" readingOrder="1"/>
    </xf>
    <xf numFmtId="179" fontId="30" fillId="0" borderId="75" xfId="1" applyNumberFormat="1" applyFont="1" applyFill="1" applyBorder="1" applyAlignment="1">
      <alignment horizontal="center" vertical="center" readingOrder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0" fillId="0" borderId="83" xfId="0" applyFont="1" applyFill="1" applyBorder="1" applyAlignment="1">
      <alignment horizontal="center" vertical="center" wrapText="1"/>
    </xf>
    <xf numFmtId="166" fontId="30" fillId="0" borderId="82" xfId="1" applyNumberFormat="1" applyFont="1" applyFill="1" applyBorder="1" applyAlignment="1">
      <alignment horizontal="center" vertical="center" readingOrder="1"/>
    </xf>
    <xf numFmtId="164" fontId="30" fillId="0" borderId="84" xfId="1" applyNumberFormat="1" applyFont="1" applyFill="1" applyBorder="1" applyAlignment="1">
      <alignment horizontal="center" vertical="center" readingOrder="1"/>
    </xf>
    <xf numFmtId="164" fontId="30" fillId="0" borderId="18" xfId="1" applyNumberFormat="1" applyFont="1" applyFill="1" applyBorder="1" applyAlignment="1">
      <alignment horizontal="center" vertical="center" readingOrder="1"/>
    </xf>
    <xf numFmtId="164" fontId="30" fillId="0" borderId="83" xfId="1" applyNumberFormat="1" applyFont="1" applyFill="1" applyBorder="1" applyAlignment="1">
      <alignment horizontal="center" vertical="center" readingOrder="1"/>
    </xf>
    <xf numFmtId="167" fontId="30" fillId="0" borderId="84" xfId="1" applyNumberFormat="1" applyFont="1" applyFill="1" applyBorder="1" applyAlignment="1">
      <alignment horizontal="center" vertical="center" readingOrder="1"/>
    </xf>
    <xf numFmtId="167" fontId="30" fillId="0" borderId="83" xfId="1" applyNumberFormat="1" applyFont="1" applyFill="1" applyBorder="1" applyAlignment="1">
      <alignment horizontal="center" vertical="center" readingOrder="1"/>
    </xf>
    <xf numFmtId="179" fontId="30" fillId="0" borderId="85" xfId="1" applyNumberFormat="1" applyFont="1" applyFill="1" applyBorder="1" applyAlignment="1">
      <alignment horizontal="center" vertical="center" readingOrder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166" fontId="30" fillId="0" borderId="52" xfId="1" applyNumberFormat="1" applyFont="1" applyFill="1" applyBorder="1" applyAlignment="1">
      <alignment vertical="center" readingOrder="1"/>
    </xf>
    <xf numFmtId="164" fontId="30" fillId="0" borderId="67" xfId="1" applyNumberFormat="1" applyFont="1" applyFill="1" applyBorder="1" applyAlignment="1">
      <alignment vertical="center" readingOrder="1"/>
    </xf>
    <xf numFmtId="164" fontId="30" fillId="0" borderId="57" xfId="1" applyNumberFormat="1" applyFont="1" applyFill="1" applyBorder="1" applyAlignment="1">
      <alignment vertical="center" readingOrder="1"/>
    </xf>
    <xf numFmtId="164" fontId="30" fillId="0" borderId="52" xfId="1" applyNumberFormat="1" applyFont="1" applyFill="1" applyBorder="1" applyAlignment="1">
      <alignment vertical="center" readingOrder="1"/>
    </xf>
    <xf numFmtId="167" fontId="30" fillId="0" borderId="52" xfId="1" applyNumberFormat="1" applyFont="1" applyFill="1" applyBorder="1" applyAlignment="1">
      <alignment vertical="center" readingOrder="1"/>
    </xf>
    <xf numFmtId="167" fontId="29" fillId="0" borderId="53" xfId="1" applyNumberFormat="1" applyFont="1" applyFill="1" applyBorder="1" applyAlignment="1">
      <alignment vertical="center" readingOrder="1"/>
    </xf>
    <xf numFmtId="0" fontId="30" fillId="0" borderId="0" xfId="0" applyFont="1" applyFill="1" applyBorder="1" applyAlignment="1">
      <alignment horizontal="center" vertical="center" wrapText="1"/>
    </xf>
    <xf numFmtId="166" fontId="30" fillId="0" borderId="0" xfId="0" applyNumberFormat="1" applyFont="1" applyFill="1" applyBorder="1" applyAlignment="1">
      <alignment horizontal="center" vertical="center" wrapText="1"/>
    </xf>
    <xf numFmtId="164" fontId="30" fillId="0" borderId="22" xfId="1" applyFont="1" applyFill="1" applyBorder="1" applyAlignment="1">
      <alignment horizontal="center" vertical="center"/>
    </xf>
    <xf numFmtId="164" fontId="30" fillId="0" borderId="0" xfId="0" applyNumberFormat="1" applyFont="1" applyFill="1"/>
    <xf numFmtId="164" fontId="30" fillId="0" borderId="22" xfId="1" applyFont="1" applyFill="1" applyBorder="1" applyAlignment="1">
      <alignment horizontal="center" vertical="center" wrapText="1"/>
    </xf>
    <xf numFmtId="164" fontId="30" fillId="0" borderId="17" xfId="1" applyFont="1" applyFill="1" applyBorder="1" applyAlignment="1">
      <alignment horizontal="center" vertical="center" wrapText="1"/>
    </xf>
    <xf numFmtId="167" fontId="30" fillId="0" borderId="2" xfId="1" applyNumberFormat="1" applyFont="1" applyFill="1" applyBorder="1" applyAlignment="1">
      <alignment horizontal="center" vertical="center" readingOrder="1"/>
    </xf>
    <xf numFmtId="167" fontId="30" fillId="0" borderId="10" xfId="1" applyNumberFormat="1" applyFont="1" applyFill="1" applyBorder="1" applyAlignment="1">
      <alignment horizontal="center" vertical="center" readingOrder="1"/>
    </xf>
    <xf numFmtId="166" fontId="30" fillId="0" borderId="0" xfId="1" applyNumberFormat="1" applyFont="1" applyFill="1" applyBorder="1" applyAlignment="1">
      <alignment vertical="center" readingOrder="1"/>
    </xf>
  </cellXfs>
  <cellStyles count="17">
    <cellStyle name="Normal" xfId="13" xr:uid="{00000000-0005-0000-0000-000000000000}"/>
    <cellStyle name="Percent 2" xfId="3" xr:uid="{00000000-0005-0000-0000-000001000000}"/>
    <cellStyle name="Обычный" xfId="0" builtinId="0"/>
    <cellStyle name="Обычный 2" xfId="4" xr:uid="{00000000-0005-0000-0000-000003000000}"/>
    <cellStyle name="Обычный 3" xfId="7" xr:uid="{00000000-0005-0000-0000-000004000000}"/>
    <cellStyle name="Процентный" xfId="2" builtinId="5"/>
    <cellStyle name="Процентный 2" xfId="5" xr:uid="{00000000-0005-0000-0000-000006000000}"/>
    <cellStyle name="Финансовый" xfId="1" builtinId="3"/>
    <cellStyle name="Финансовый 2" xfId="6" xr:uid="{00000000-0005-0000-0000-000008000000}"/>
    <cellStyle name="Финансовый 2 2" xfId="9" xr:uid="{00000000-0005-0000-0000-000009000000}"/>
    <cellStyle name="Финансовый 2 2 2" xfId="12" xr:uid="{00000000-0005-0000-0000-00000A000000}"/>
    <cellStyle name="Финансовый 2 3" xfId="10" xr:uid="{00000000-0005-0000-0000-00000B000000}"/>
    <cellStyle name="Финансовый 3" xfId="8" xr:uid="{00000000-0005-0000-0000-00000C000000}"/>
    <cellStyle name="Финансовый 3 2" xfId="11" xr:uid="{00000000-0005-0000-0000-00000D000000}"/>
    <cellStyle name="Финансовый 4" xfId="14" xr:uid="{00000000-0005-0000-0000-00000E000000}"/>
    <cellStyle name="Финансовый 5" xfId="15" xr:uid="{00000000-0005-0000-0000-00000F000000}"/>
    <cellStyle name="Финансовый 6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powerPivotData" Target="model/item.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'diagramma-practice'!$A$4:$B$8</c:f>
              <c:multiLvlStrCache>
                <c:ptCount val="5"/>
                <c:lvl>
                  <c:pt idx="0">
                    <c:v>Вексели давлатӣ барои танзими 37 қарзҳои мушкилситони ҶСК "Агроинвестбонк" </c:v>
                  </c:pt>
                  <c:pt idx="1">
                    <c:v>Векселҳои давлатӣ барои сармоякунонии ҶСК "Тоҷиксодиротбонк" </c:v>
                  </c:pt>
                  <c:pt idx="2">
                    <c:v>Векселҳои давлатӣ барои сармоякунонии ҶСК "Агроинвестбонк" </c:v>
                  </c:pt>
                  <c:pt idx="3">
                    <c:v>Вексели давлатӣ барои сармоякунонии ҶСК "Агроинвестбонк" </c:v>
                  </c:pt>
                  <c:pt idx="4">
                    <c:v>Қарзи Ҳукумати Ҷумҳурии Тоҷикистон дар назди Бонки миллӣ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'diagramma-practice'!$C$4:$C$8</c:f>
              <c:numCache>
                <c:formatCode>_-* #\ ##0.00\ _₽_-;\-* #\ ##0.00\ _₽_-;_-* "-"??\ _₽_-;_-@_-</c:formatCode>
                <c:ptCount val="5"/>
                <c:pt idx="0">
                  <c:v>465.02792060000002</c:v>
                </c:pt>
                <c:pt idx="1">
                  <c:v>1826.20312154</c:v>
                </c:pt>
                <c:pt idx="2">
                  <c:v>712.55241416000001</c:v>
                </c:pt>
                <c:pt idx="3">
                  <c:v>200</c:v>
                </c:pt>
                <c:pt idx="4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D-4E91-A5F4-6A793BFCAC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36620128"/>
        <c:axId val="1936616864"/>
      </c:barChart>
      <c:catAx>
        <c:axId val="1936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6616864"/>
        <c:crosses val="autoZero"/>
        <c:auto val="1"/>
        <c:lblAlgn val="ctr"/>
        <c:lblOffset val="100"/>
        <c:noMultiLvlLbl val="0"/>
      </c:catAx>
      <c:valAx>
        <c:axId val="193661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₽_-;\-* #\ ##0.0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662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</xdr:row>
      <xdr:rowOff>0</xdr:rowOff>
    </xdr:from>
    <xdr:to>
      <xdr:col>16</xdr:col>
      <xdr:colOff>600075</xdr:colOff>
      <xdr:row>8</xdr:row>
      <xdr:rowOff>571500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79;&#1072;&#1088;&#1079;&#1076;&#1086;&#1088;&#1080;&#1080;%20&#1076;&#1072;&#1088;%20&#1085;&#1072;&#1079;&#1076;&#1080;%20&#1041;&#1052;&#1058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%20&#1202;&#1080;&#1089;&#1086;&#1073;&#1086;&#1090;&#1203;&#1086;/+%202017-2018-2019-2020-2021-2022-2023/&#1057;&#1086;&#1083;&#1080;%202022/&#1178;&#1072;&#1088;&#1079;&#1080;%20&#1076;&#1086;&#1093;&#1080;&#1083;&#1080;%20&#1073;&#1072;%20&#1203;&#1086;&#1083;&#1072;&#1090;&#1080;%2001.01.2023%204-&#1082;&#1074;/&#1061;&#1080;&#1079;&#1084;&#1072;&#1090;&#1088;&#1072;&#1089;&#1086;&#1085;&#1251;_01.01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қарздории дар назди БМТ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 Вазир 31-12-22 "/>
      <sheetName val="Қарз нисбат ба ММД дар кв2"/>
      <sheetName val="Дар назди БМТ 31-12-22 "/>
      <sheetName val="Қарзи БМТ 1165_22.12.21"/>
      <sheetName val="--- 500 mln-31.12.2022"/>
      <sheetName val="Ба Вазир 31-12-22  (2)"/>
      <sheetName val="ҚД маб-буҷ 2022"/>
    </sheetNames>
    <sheetDataSet>
      <sheetData sheetId="0">
        <row r="4">
          <cell r="K4">
            <v>0</v>
          </cell>
        </row>
        <row r="5">
          <cell r="K5">
            <v>0</v>
          </cell>
        </row>
        <row r="6">
          <cell r="K6">
            <v>477351.42060000001</v>
          </cell>
        </row>
        <row r="7">
          <cell r="K7">
            <v>2118346.2953900001</v>
          </cell>
        </row>
        <row r="8">
          <cell r="K8">
            <v>931301.98450000002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200000</v>
          </cell>
        </row>
        <row r="12">
          <cell r="K12">
            <v>10000</v>
          </cell>
        </row>
        <row r="13">
          <cell r="K13">
            <v>99750.374689999997</v>
          </cell>
        </row>
        <row r="14">
          <cell r="K14">
            <v>847000</v>
          </cell>
        </row>
        <row r="18">
          <cell r="G18">
            <v>115739.4</v>
          </cell>
        </row>
        <row r="20">
          <cell r="H20">
            <v>10.202400000000001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2"/>
  <dimension ref="A1:IN75"/>
  <sheetViews>
    <sheetView topLeftCell="A4" zoomScale="130" zoomScaleNormal="130" zoomScaleSheetLayoutView="100" workbookViewId="0">
      <pane ySplit="2" topLeftCell="A63" activePane="bottomLeft" state="frozen"/>
      <selection activeCell="A5" sqref="A5"/>
      <selection pane="bottomLeft" activeCell="K68" sqref="K68"/>
    </sheetView>
  </sheetViews>
  <sheetFormatPr defaultRowHeight="40.5" customHeight="1" x14ac:dyDescent="0.4"/>
  <cols>
    <col min="1" max="1" width="6" style="824" customWidth="1"/>
    <col min="2" max="2" width="20.28515625" style="824" customWidth="1"/>
    <col min="3" max="3" width="14.85546875" style="824" customWidth="1"/>
    <col min="4" max="4" width="12.42578125" style="824" customWidth="1"/>
    <col min="5" max="5" width="10.7109375" style="824" customWidth="1"/>
    <col min="6" max="6" width="13.85546875" style="824" customWidth="1"/>
    <col min="7" max="7" width="22.7109375" style="824" customWidth="1"/>
    <col min="8" max="8" width="21.28515625" style="824" customWidth="1"/>
    <col min="9" max="9" width="20.7109375" style="824" customWidth="1"/>
    <col min="10" max="10" width="21.140625" style="824" customWidth="1"/>
    <col min="11" max="14" width="9.140625" style="824"/>
    <col min="15" max="15" width="6" style="824" customWidth="1"/>
    <col min="16" max="16" width="20.28515625" style="824" customWidth="1"/>
    <col min="17" max="17" width="14.85546875" style="824" customWidth="1"/>
    <col min="18" max="18" width="12.42578125" style="824" customWidth="1"/>
    <col min="19" max="19" width="10.7109375" style="824" customWidth="1"/>
    <col min="20" max="20" width="13.85546875" style="824" customWidth="1"/>
    <col min="21" max="21" width="22.7109375" style="824" customWidth="1"/>
    <col min="22" max="22" width="21.28515625" style="824" customWidth="1"/>
    <col min="23" max="23" width="20.7109375" style="824" customWidth="1"/>
    <col min="24" max="24" width="21.140625" style="824" customWidth="1"/>
    <col min="25" max="247" width="9.140625" style="824"/>
    <col min="248" max="248" width="18.42578125" style="824" bestFit="1" customWidth="1"/>
    <col min="249" max="249" width="6" style="824" customWidth="1"/>
    <col min="250" max="250" width="25.42578125" style="824" customWidth="1"/>
    <col min="251" max="251" width="26.140625" style="824" customWidth="1"/>
    <col min="252" max="252" width="14.85546875" style="824" customWidth="1"/>
    <col min="253" max="253" width="14.5703125" style="824" customWidth="1"/>
    <col min="254" max="254" width="15.28515625" style="824" customWidth="1"/>
    <col min="255" max="256" width="27.42578125" style="824" customWidth="1"/>
    <col min="257" max="257" width="25.42578125" style="824" customWidth="1"/>
    <col min="258" max="258" width="27.7109375" style="824" customWidth="1"/>
    <col min="259" max="259" width="25.42578125" style="824" bestFit="1" customWidth="1"/>
    <col min="260" max="504" width="9.140625" style="824"/>
    <col min="505" max="505" width="6" style="824" customWidth="1"/>
    <col min="506" max="506" width="25.42578125" style="824" customWidth="1"/>
    <col min="507" max="507" width="26.140625" style="824" customWidth="1"/>
    <col min="508" max="508" width="14.85546875" style="824" customWidth="1"/>
    <col min="509" max="509" width="14.5703125" style="824" customWidth="1"/>
    <col min="510" max="510" width="15.28515625" style="824" customWidth="1"/>
    <col min="511" max="512" width="27.42578125" style="824" customWidth="1"/>
    <col min="513" max="513" width="25.42578125" style="824" customWidth="1"/>
    <col min="514" max="514" width="27.7109375" style="824" customWidth="1"/>
    <col min="515" max="515" width="25.42578125" style="824" bestFit="1" customWidth="1"/>
    <col min="516" max="760" width="9.140625" style="824"/>
    <col min="761" max="761" width="6" style="824" customWidth="1"/>
    <col min="762" max="762" width="25.42578125" style="824" customWidth="1"/>
    <col min="763" max="763" width="26.140625" style="824" customWidth="1"/>
    <col min="764" max="764" width="14.85546875" style="824" customWidth="1"/>
    <col min="765" max="765" width="14.5703125" style="824" customWidth="1"/>
    <col min="766" max="766" width="15.28515625" style="824" customWidth="1"/>
    <col min="767" max="768" width="27.42578125" style="824" customWidth="1"/>
    <col min="769" max="769" width="25.42578125" style="824" customWidth="1"/>
    <col min="770" max="770" width="27.7109375" style="824" customWidth="1"/>
    <col min="771" max="771" width="25.42578125" style="824" bestFit="1" customWidth="1"/>
    <col min="772" max="1016" width="9.140625" style="824"/>
    <col min="1017" max="1017" width="6" style="824" customWidth="1"/>
    <col min="1018" max="1018" width="25.42578125" style="824" customWidth="1"/>
    <col min="1019" max="1019" width="26.140625" style="824" customWidth="1"/>
    <col min="1020" max="1020" width="14.85546875" style="824" customWidth="1"/>
    <col min="1021" max="1021" width="14.5703125" style="824" customWidth="1"/>
    <col min="1022" max="1022" width="15.28515625" style="824" customWidth="1"/>
    <col min="1023" max="1024" width="27.42578125" style="824" customWidth="1"/>
    <col min="1025" max="1025" width="25.42578125" style="824" customWidth="1"/>
    <col min="1026" max="1026" width="27.7109375" style="824" customWidth="1"/>
    <col min="1027" max="1027" width="25.42578125" style="824" bestFit="1" customWidth="1"/>
    <col min="1028" max="1272" width="9.140625" style="824"/>
    <col min="1273" max="1273" width="6" style="824" customWidth="1"/>
    <col min="1274" max="1274" width="25.42578125" style="824" customWidth="1"/>
    <col min="1275" max="1275" width="26.140625" style="824" customWidth="1"/>
    <col min="1276" max="1276" width="14.85546875" style="824" customWidth="1"/>
    <col min="1277" max="1277" width="14.5703125" style="824" customWidth="1"/>
    <col min="1278" max="1278" width="15.28515625" style="824" customWidth="1"/>
    <col min="1279" max="1280" width="27.42578125" style="824" customWidth="1"/>
    <col min="1281" max="1281" width="25.42578125" style="824" customWidth="1"/>
    <col min="1282" max="1282" width="27.7109375" style="824" customWidth="1"/>
    <col min="1283" max="1283" width="25.42578125" style="824" bestFit="1" customWidth="1"/>
    <col min="1284" max="1528" width="9.140625" style="824"/>
    <col min="1529" max="1529" width="6" style="824" customWidth="1"/>
    <col min="1530" max="1530" width="25.42578125" style="824" customWidth="1"/>
    <col min="1531" max="1531" width="26.140625" style="824" customWidth="1"/>
    <col min="1532" max="1532" width="14.85546875" style="824" customWidth="1"/>
    <col min="1533" max="1533" width="14.5703125" style="824" customWidth="1"/>
    <col min="1534" max="1534" width="15.28515625" style="824" customWidth="1"/>
    <col min="1535" max="1536" width="27.42578125" style="824" customWidth="1"/>
    <col min="1537" max="1537" width="25.42578125" style="824" customWidth="1"/>
    <col min="1538" max="1538" width="27.7109375" style="824" customWidth="1"/>
    <col min="1539" max="1539" width="25.42578125" style="824" bestFit="1" customWidth="1"/>
    <col min="1540" max="1784" width="9.140625" style="824"/>
    <col min="1785" max="1785" width="6" style="824" customWidth="1"/>
    <col min="1786" max="1786" width="25.42578125" style="824" customWidth="1"/>
    <col min="1787" max="1787" width="26.140625" style="824" customWidth="1"/>
    <col min="1788" max="1788" width="14.85546875" style="824" customWidth="1"/>
    <col min="1789" max="1789" width="14.5703125" style="824" customWidth="1"/>
    <col min="1790" max="1790" width="15.28515625" style="824" customWidth="1"/>
    <col min="1791" max="1792" width="27.42578125" style="824" customWidth="1"/>
    <col min="1793" max="1793" width="25.42578125" style="824" customWidth="1"/>
    <col min="1794" max="1794" width="27.7109375" style="824" customWidth="1"/>
    <col min="1795" max="1795" width="25.42578125" style="824" bestFit="1" customWidth="1"/>
    <col min="1796" max="2040" width="9.140625" style="824"/>
    <col min="2041" max="2041" width="6" style="824" customWidth="1"/>
    <col min="2042" max="2042" width="25.42578125" style="824" customWidth="1"/>
    <col min="2043" max="2043" width="26.140625" style="824" customWidth="1"/>
    <col min="2044" max="2044" width="14.85546875" style="824" customWidth="1"/>
    <col min="2045" max="2045" width="14.5703125" style="824" customWidth="1"/>
    <col min="2046" max="2046" width="15.28515625" style="824" customWidth="1"/>
    <col min="2047" max="2048" width="27.42578125" style="824" customWidth="1"/>
    <col min="2049" max="2049" width="25.42578125" style="824" customWidth="1"/>
    <col min="2050" max="2050" width="27.7109375" style="824" customWidth="1"/>
    <col min="2051" max="2051" width="25.42578125" style="824" bestFit="1" customWidth="1"/>
    <col min="2052" max="2296" width="9.140625" style="824"/>
    <col min="2297" max="2297" width="6" style="824" customWidth="1"/>
    <col min="2298" max="2298" width="25.42578125" style="824" customWidth="1"/>
    <col min="2299" max="2299" width="26.140625" style="824" customWidth="1"/>
    <col min="2300" max="2300" width="14.85546875" style="824" customWidth="1"/>
    <col min="2301" max="2301" width="14.5703125" style="824" customWidth="1"/>
    <col min="2302" max="2302" width="15.28515625" style="824" customWidth="1"/>
    <col min="2303" max="2304" width="27.42578125" style="824" customWidth="1"/>
    <col min="2305" max="2305" width="25.42578125" style="824" customWidth="1"/>
    <col min="2306" max="2306" width="27.7109375" style="824" customWidth="1"/>
    <col min="2307" max="2307" width="25.42578125" style="824" bestFit="1" customWidth="1"/>
    <col min="2308" max="2552" width="9.140625" style="824"/>
    <col min="2553" max="2553" width="6" style="824" customWidth="1"/>
    <col min="2554" max="2554" width="25.42578125" style="824" customWidth="1"/>
    <col min="2555" max="2555" width="26.140625" style="824" customWidth="1"/>
    <col min="2556" max="2556" width="14.85546875" style="824" customWidth="1"/>
    <col min="2557" max="2557" width="14.5703125" style="824" customWidth="1"/>
    <col min="2558" max="2558" width="15.28515625" style="824" customWidth="1"/>
    <col min="2559" max="2560" width="27.42578125" style="824" customWidth="1"/>
    <col min="2561" max="2561" width="25.42578125" style="824" customWidth="1"/>
    <col min="2562" max="2562" width="27.7109375" style="824" customWidth="1"/>
    <col min="2563" max="2563" width="25.42578125" style="824" bestFit="1" customWidth="1"/>
    <col min="2564" max="2808" width="9.140625" style="824"/>
    <col min="2809" max="2809" width="6" style="824" customWidth="1"/>
    <col min="2810" max="2810" width="25.42578125" style="824" customWidth="1"/>
    <col min="2811" max="2811" width="26.140625" style="824" customWidth="1"/>
    <col min="2812" max="2812" width="14.85546875" style="824" customWidth="1"/>
    <col min="2813" max="2813" width="14.5703125" style="824" customWidth="1"/>
    <col min="2814" max="2814" width="15.28515625" style="824" customWidth="1"/>
    <col min="2815" max="2816" width="27.42578125" style="824" customWidth="1"/>
    <col min="2817" max="2817" width="25.42578125" style="824" customWidth="1"/>
    <col min="2818" max="2818" width="27.7109375" style="824" customWidth="1"/>
    <col min="2819" max="2819" width="25.42578125" style="824" bestFit="1" customWidth="1"/>
    <col min="2820" max="3064" width="9.140625" style="824"/>
    <col min="3065" max="3065" width="6" style="824" customWidth="1"/>
    <col min="3066" max="3066" width="25.42578125" style="824" customWidth="1"/>
    <col min="3067" max="3067" width="26.140625" style="824" customWidth="1"/>
    <col min="3068" max="3068" width="14.85546875" style="824" customWidth="1"/>
    <col min="3069" max="3069" width="14.5703125" style="824" customWidth="1"/>
    <col min="3070" max="3070" width="15.28515625" style="824" customWidth="1"/>
    <col min="3071" max="3072" width="27.42578125" style="824" customWidth="1"/>
    <col min="3073" max="3073" width="25.42578125" style="824" customWidth="1"/>
    <col min="3074" max="3074" width="27.7109375" style="824" customWidth="1"/>
    <col min="3075" max="3075" width="25.42578125" style="824" bestFit="1" customWidth="1"/>
    <col min="3076" max="3320" width="9.140625" style="824"/>
    <col min="3321" max="3321" width="6" style="824" customWidth="1"/>
    <col min="3322" max="3322" width="25.42578125" style="824" customWidth="1"/>
    <col min="3323" max="3323" width="26.140625" style="824" customWidth="1"/>
    <col min="3324" max="3324" width="14.85546875" style="824" customWidth="1"/>
    <col min="3325" max="3325" width="14.5703125" style="824" customWidth="1"/>
    <col min="3326" max="3326" width="15.28515625" style="824" customWidth="1"/>
    <col min="3327" max="3328" width="27.42578125" style="824" customWidth="1"/>
    <col min="3329" max="3329" width="25.42578125" style="824" customWidth="1"/>
    <col min="3330" max="3330" width="27.7109375" style="824" customWidth="1"/>
    <col min="3331" max="3331" width="25.42578125" style="824" bestFit="1" customWidth="1"/>
    <col min="3332" max="3576" width="9.140625" style="824"/>
    <col min="3577" max="3577" width="6" style="824" customWidth="1"/>
    <col min="3578" max="3578" width="25.42578125" style="824" customWidth="1"/>
    <col min="3579" max="3579" width="26.140625" style="824" customWidth="1"/>
    <col min="3580" max="3580" width="14.85546875" style="824" customWidth="1"/>
    <col min="3581" max="3581" width="14.5703125" style="824" customWidth="1"/>
    <col min="3582" max="3582" width="15.28515625" style="824" customWidth="1"/>
    <col min="3583" max="3584" width="27.42578125" style="824" customWidth="1"/>
    <col min="3585" max="3585" width="25.42578125" style="824" customWidth="1"/>
    <col min="3586" max="3586" width="27.7109375" style="824" customWidth="1"/>
    <col min="3587" max="3587" width="25.42578125" style="824" bestFit="1" customWidth="1"/>
    <col min="3588" max="3832" width="9.140625" style="824"/>
    <col min="3833" max="3833" width="6" style="824" customWidth="1"/>
    <col min="3834" max="3834" width="25.42578125" style="824" customWidth="1"/>
    <col min="3835" max="3835" width="26.140625" style="824" customWidth="1"/>
    <col min="3836" max="3836" width="14.85546875" style="824" customWidth="1"/>
    <col min="3837" max="3837" width="14.5703125" style="824" customWidth="1"/>
    <col min="3838" max="3838" width="15.28515625" style="824" customWidth="1"/>
    <col min="3839" max="3840" width="27.42578125" style="824" customWidth="1"/>
    <col min="3841" max="3841" width="25.42578125" style="824" customWidth="1"/>
    <col min="3842" max="3842" width="27.7109375" style="824" customWidth="1"/>
    <col min="3843" max="3843" width="25.42578125" style="824" bestFit="1" customWidth="1"/>
    <col min="3844" max="4088" width="9.140625" style="824"/>
    <col min="4089" max="4089" width="6" style="824" customWidth="1"/>
    <col min="4090" max="4090" width="25.42578125" style="824" customWidth="1"/>
    <col min="4091" max="4091" width="26.140625" style="824" customWidth="1"/>
    <col min="4092" max="4092" width="14.85546875" style="824" customWidth="1"/>
    <col min="4093" max="4093" width="14.5703125" style="824" customWidth="1"/>
    <col min="4094" max="4094" width="15.28515625" style="824" customWidth="1"/>
    <col min="4095" max="4096" width="27.42578125" style="824" customWidth="1"/>
    <col min="4097" max="4097" width="25.42578125" style="824" customWidth="1"/>
    <col min="4098" max="4098" width="27.7109375" style="824" customWidth="1"/>
    <col min="4099" max="4099" width="25.42578125" style="824" bestFit="1" customWidth="1"/>
    <col min="4100" max="4344" width="9.140625" style="824"/>
    <col min="4345" max="4345" width="6" style="824" customWidth="1"/>
    <col min="4346" max="4346" width="25.42578125" style="824" customWidth="1"/>
    <col min="4347" max="4347" width="26.140625" style="824" customWidth="1"/>
    <col min="4348" max="4348" width="14.85546875" style="824" customWidth="1"/>
    <col min="4349" max="4349" width="14.5703125" style="824" customWidth="1"/>
    <col min="4350" max="4350" width="15.28515625" style="824" customWidth="1"/>
    <col min="4351" max="4352" width="27.42578125" style="824" customWidth="1"/>
    <col min="4353" max="4353" width="25.42578125" style="824" customWidth="1"/>
    <col min="4354" max="4354" width="27.7109375" style="824" customWidth="1"/>
    <col min="4355" max="4355" width="25.42578125" style="824" bestFit="1" customWidth="1"/>
    <col min="4356" max="4600" width="9.140625" style="824"/>
    <col min="4601" max="4601" width="6" style="824" customWidth="1"/>
    <col min="4602" max="4602" width="25.42578125" style="824" customWidth="1"/>
    <col min="4603" max="4603" width="26.140625" style="824" customWidth="1"/>
    <col min="4604" max="4604" width="14.85546875" style="824" customWidth="1"/>
    <col min="4605" max="4605" width="14.5703125" style="824" customWidth="1"/>
    <col min="4606" max="4606" width="15.28515625" style="824" customWidth="1"/>
    <col min="4607" max="4608" width="27.42578125" style="824" customWidth="1"/>
    <col min="4609" max="4609" width="25.42578125" style="824" customWidth="1"/>
    <col min="4610" max="4610" width="27.7109375" style="824" customWidth="1"/>
    <col min="4611" max="4611" width="25.42578125" style="824" bestFit="1" customWidth="1"/>
    <col min="4612" max="4856" width="9.140625" style="824"/>
    <col min="4857" max="4857" width="6" style="824" customWidth="1"/>
    <col min="4858" max="4858" width="25.42578125" style="824" customWidth="1"/>
    <col min="4859" max="4859" width="26.140625" style="824" customWidth="1"/>
    <col min="4860" max="4860" width="14.85546875" style="824" customWidth="1"/>
    <col min="4861" max="4861" width="14.5703125" style="824" customWidth="1"/>
    <col min="4862" max="4862" width="15.28515625" style="824" customWidth="1"/>
    <col min="4863" max="4864" width="27.42578125" style="824" customWidth="1"/>
    <col min="4865" max="4865" width="25.42578125" style="824" customWidth="1"/>
    <col min="4866" max="4866" width="27.7109375" style="824" customWidth="1"/>
    <col min="4867" max="4867" width="25.42578125" style="824" bestFit="1" customWidth="1"/>
    <col min="4868" max="5112" width="9.140625" style="824"/>
    <col min="5113" max="5113" width="6" style="824" customWidth="1"/>
    <col min="5114" max="5114" width="25.42578125" style="824" customWidth="1"/>
    <col min="5115" max="5115" width="26.140625" style="824" customWidth="1"/>
    <col min="5116" max="5116" width="14.85546875" style="824" customWidth="1"/>
    <col min="5117" max="5117" width="14.5703125" style="824" customWidth="1"/>
    <col min="5118" max="5118" width="15.28515625" style="824" customWidth="1"/>
    <col min="5119" max="5120" width="27.42578125" style="824" customWidth="1"/>
    <col min="5121" max="5121" width="25.42578125" style="824" customWidth="1"/>
    <col min="5122" max="5122" width="27.7109375" style="824" customWidth="1"/>
    <col min="5123" max="5123" width="25.42578125" style="824" bestFit="1" customWidth="1"/>
    <col min="5124" max="5368" width="9.140625" style="824"/>
    <col min="5369" max="5369" width="6" style="824" customWidth="1"/>
    <col min="5370" max="5370" width="25.42578125" style="824" customWidth="1"/>
    <col min="5371" max="5371" width="26.140625" style="824" customWidth="1"/>
    <col min="5372" max="5372" width="14.85546875" style="824" customWidth="1"/>
    <col min="5373" max="5373" width="14.5703125" style="824" customWidth="1"/>
    <col min="5374" max="5374" width="15.28515625" style="824" customWidth="1"/>
    <col min="5375" max="5376" width="27.42578125" style="824" customWidth="1"/>
    <col min="5377" max="5377" width="25.42578125" style="824" customWidth="1"/>
    <col min="5378" max="5378" width="27.7109375" style="824" customWidth="1"/>
    <col min="5379" max="5379" width="25.42578125" style="824" bestFit="1" customWidth="1"/>
    <col min="5380" max="5624" width="9.140625" style="824"/>
    <col min="5625" max="5625" width="6" style="824" customWidth="1"/>
    <col min="5626" max="5626" width="25.42578125" style="824" customWidth="1"/>
    <col min="5627" max="5627" width="26.140625" style="824" customWidth="1"/>
    <col min="5628" max="5628" width="14.85546875" style="824" customWidth="1"/>
    <col min="5629" max="5629" width="14.5703125" style="824" customWidth="1"/>
    <col min="5630" max="5630" width="15.28515625" style="824" customWidth="1"/>
    <col min="5631" max="5632" width="27.42578125" style="824" customWidth="1"/>
    <col min="5633" max="5633" width="25.42578125" style="824" customWidth="1"/>
    <col min="5634" max="5634" width="27.7109375" style="824" customWidth="1"/>
    <col min="5635" max="5635" width="25.42578125" style="824" bestFit="1" customWidth="1"/>
    <col min="5636" max="5880" width="9.140625" style="824"/>
    <col min="5881" max="5881" width="6" style="824" customWidth="1"/>
    <col min="5882" max="5882" width="25.42578125" style="824" customWidth="1"/>
    <col min="5883" max="5883" width="26.140625" style="824" customWidth="1"/>
    <col min="5884" max="5884" width="14.85546875" style="824" customWidth="1"/>
    <col min="5885" max="5885" width="14.5703125" style="824" customWidth="1"/>
    <col min="5886" max="5886" width="15.28515625" style="824" customWidth="1"/>
    <col min="5887" max="5888" width="27.42578125" style="824" customWidth="1"/>
    <col min="5889" max="5889" width="25.42578125" style="824" customWidth="1"/>
    <col min="5890" max="5890" width="27.7109375" style="824" customWidth="1"/>
    <col min="5891" max="5891" width="25.42578125" style="824" bestFit="1" customWidth="1"/>
    <col min="5892" max="6136" width="9.140625" style="824"/>
    <col min="6137" max="6137" width="6" style="824" customWidth="1"/>
    <col min="6138" max="6138" width="25.42578125" style="824" customWidth="1"/>
    <col min="6139" max="6139" width="26.140625" style="824" customWidth="1"/>
    <col min="6140" max="6140" width="14.85546875" style="824" customWidth="1"/>
    <col min="6141" max="6141" width="14.5703125" style="824" customWidth="1"/>
    <col min="6142" max="6142" width="15.28515625" style="824" customWidth="1"/>
    <col min="6143" max="6144" width="27.42578125" style="824" customWidth="1"/>
    <col min="6145" max="6145" width="25.42578125" style="824" customWidth="1"/>
    <col min="6146" max="6146" width="27.7109375" style="824" customWidth="1"/>
    <col min="6147" max="6147" width="25.42578125" style="824" bestFit="1" customWidth="1"/>
    <col min="6148" max="6392" width="9.140625" style="824"/>
    <col min="6393" max="6393" width="6" style="824" customWidth="1"/>
    <col min="6394" max="6394" width="25.42578125" style="824" customWidth="1"/>
    <col min="6395" max="6395" width="26.140625" style="824" customWidth="1"/>
    <col min="6396" max="6396" width="14.85546875" style="824" customWidth="1"/>
    <col min="6397" max="6397" width="14.5703125" style="824" customWidth="1"/>
    <col min="6398" max="6398" width="15.28515625" style="824" customWidth="1"/>
    <col min="6399" max="6400" width="27.42578125" style="824" customWidth="1"/>
    <col min="6401" max="6401" width="25.42578125" style="824" customWidth="1"/>
    <col min="6402" max="6402" width="27.7109375" style="824" customWidth="1"/>
    <col min="6403" max="6403" width="25.42578125" style="824" bestFit="1" customWidth="1"/>
    <col min="6404" max="6648" width="9.140625" style="824"/>
    <col min="6649" max="6649" width="6" style="824" customWidth="1"/>
    <col min="6650" max="6650" width="25.42578125" style="824" customWidth="1"/>
    <col min="6651" max="6651" width="26.140625" style="824" customWidth="1"/>
    <col min="6652" max="6652" width="14.85546875" style="824" customWidth="1"/>
    <col min="6653" max="6653" width="14.5703125" style="824" customWidth="1"/>
    <col min="6654" max="6654" width="15.28515625" style="824" customWidth="1"/>
    <col min="6655" max="6656" width="27.42578125" style="824" customWidth="1"/>
    <col min="6657" max="6657" width="25.42578125" style="824" customWidth="1"/>
    <col min="6658" max="6658" width="27.7109375" style="824" customWidth="1"/>
    <col min="6659" max="6659" width="25.42578125" style="824" bestFit="1" customWidth="1"/>
    <col min="6660" max="6904" width="9.140625" style="824"/>
    <col min="6905" max="6905" width="6" style="824" customWidth="1"/>
    <col min="6906" max="6906" width="25.42578125" style="824" customWidth="1"/>
    <col min="6907" max="6907" width="26.140625" style="824" customWidth="1"/>
    <col min="6908" max="6908" width="14.85546875" style="824" customWidth="1"/>
    <col min="6909" max="6909" width="14.5703125" style="824" customWidth="1"/>
    <col min="6910" max="6910" width="15.28515625" style="824" customWidth="1"/>
    <col min="6911" max="6912" width="27.42578125" style="824" customWidth="1"/>
    <col min="6913" max="6913" width="25.42578125" style="824" customWidth="1"/>
    <col min="6914" max="6914" width="27.7109375" style="824" customWidth="1"/>
    <col min="6915" max="6915" width="25.42578125" style="824" bestFit="1" customWidth="1"/>
    <col min="6916" max="7160" width="9.140625" style="824"/>
    <col min="7161" max="7161" width="6" style="824" customWidth="1"/>
    <col min="7162" max="7162" width="25.42578125" style="824" customWidth="1"/>
    <col min="7163" max="7163" width="26.140625" style="824" customWidth="1"/>
    <col min="7164" max="7164" width="14.85546875" style="824" customWidth="1"/>
    <col min="7165" max="7165" width="14.5703125" style="824" customWidth="1"/>
    <col min="7166" max="7166" width="15.28515625" style="824" customWidth="1"/>
    <col min="7167" max="7168" width="27.42578125" style="824" customWidth="1"/>
    <col min="7169" max="7169" width="25.42578125" style="824" customWidth="1"/>
    <col min="7170" max="7170" width="27.7109375" style="824" customWidth="1"/>
    <col min="7171" max="7171" width="25.42578125" style="824" bestFit="1" customWidth="1"/>
    <col min="7172" max="7416" width="9.140625" style="824"/>
    <col min="7417" max="7417" width="6" style="824" customWidth="1"/>
    <col min="7418" max="7418" width="25.42578125" style="824" customWidth="1"/>
    <col min="7419" max="7419" width="26.140625" style="824" customWidth="1"/>
    <col min="7420" max="7420" width="14.85546875" style="824" customWidth="1"/>
    <col min="7421" max="7421" width="14.5703125" style="824" customWidth="1"/>
    <col min="7422" max="7422" width="15.28515625" style="824" customWidth="1"/>
    <col min="7423" max="7424" width="27.42578125" style="824" customWidth="1"/>
    <col min="7425" max="7425" width="25.42578125" style="824" customWidth="1"/>
    <col min="7426" max="7426" width="27.7109375" style="824" customWidth="1"/>
    <col min="7427" max="7427" width="25.42578125" style="824" bestFit="1" customWidth="1"/>
    <col min="7428" max="7672" width="9.140625" style="824"/>
    <col min="7673" max="7673" width="6" style="824" customWidth="1"/>
    <col min="7674" max="7674" width="25.42578125" style="824" customWidth="1"/>
    <col min="7675" max="7675" width="26.140625" style="824" customWidth="1"/>
    <col min="7676" max="7676" width="14.85546875" style="824" customWidth="1"/>
    <col min="7677" max="7677" width="14.5703125" style="824" customWidth="1"/>
    <col min="7678" max="7678" width="15.28515625" style="824" customWidth="1"/>
    <col min="7679" max="7680" width="27.42578125" style="824" customWidth="1"/>
    <col min="7681" max="7681" width="25.42578125" style="824" customWidth="1"/>
    <col min="7682" max="7682" width="27.7109375" style="824" customWidth="1"/>
    <col min="7683" max="7683" width="25.42578125" style="824" bestFit="1" customWidth="1"/>
    <col min="7684" max="7928" width="9.140625" style="824"/>
    <col min="7929" max="7929" width="6" style="824" customWidth="1"/>
    <col min="7930" max="7930" width="25.42578125" style="824" customWidth="1"/>
    <col min="7931" max="7931" width="26.140625" style="824" customWidth="1"/>
    <col min="7932" max="7932" width="14.85546875" style="824" customWidth="1"/>
    <col min="7933" max="7933" width="14.5703125" style="824" customWidth="1"/>
    <col min="7934" max="7934" width="15.28515625" style="824" customWidth="1"/>
    <col min="7935" max="7936" width="27.42578125" style="824" customWidth="1"/>
    <col min="7937" max="7937" width="25.42578125" style="824" customWidth="1"/>
    <col min="7938" max="7938" width="27.7109375" style="824" customWidth="1"/>
    <col min="7939" max="7939" width="25.42578125" style="824" bestFit="1" customWidth="1"/>
    <col min="7940" max="8184" width="9.140625" style="824"/>
    <col min="8185" max="8185" width="6" style="824" customWidth="1"/>
    <col min="8186" max="8186" width="25.42578125" style="824" customWidth="1"/>
    <col min="8187" max="8187" width="26.140625" style="824" customWidth="1"/>
    <col min="8188" max="8188" width="14.85546875" style="824" customWidth="1"/>
    <col min="8189" max="8189" width="14.5703125" style="824" customWidth="1"/>
    <col min="8190" max="8190" width="15.28515625" style="824" customWidth="1"/>
    <col min="8191" max="8192" width="27.42578125" style="824" customWidth="1"/>
    <col min="8193" max="8193" width="25.42578125" style="824" customWidth="1"/>
    <col min="8194" max="8194" width="27.7109375" style="824" customWidth="1"/>
    <col min="8195" max="8195" width="25.42578125" style="824" bestFit="1" customWidth="1"/>
    <col min="8196" max="8440" width="9.140625" style="824"/>
    <col min="8441" max="8441" width="6" style="824" customWidth="1"/>
    <col min="8442" max="8442" width="25.42578125" style="824" customWidth="1"/>
    <col min="8443" max="8443" width="26.140625" style="824" customWidth="1"/>
    <col min="8444" max="8444" width="14.85546875" style="824" customWidth="1"/>
    <col min="8445" max="8445" width="14.5703125" style="824" customWidth="1"/>
    <col min="8446" max="8446" width="15.28515625" style="824" customWidth="1"/>
    <col min="8447" max="8448" width="27.42578125" style="824" customWidth="1"/>
    <col min="8449" max="8449" width="25.42578125" style="824" customWidth="1"/>
    <col min="8450" max="8450" width="27.7109375" style="824" customWidth="1"/>
    <col min="8451" max="8451" width="25.42578125" style="824" bestFit="1" customWidth="1"/>
    <col min="8452" max="8696" width="9.140625" style="824"/>
    <col min="8697" max="8697" width="6" style="824" customWidth="1"/>
    <col min="8698" max="8698" width="25.42578125" style="824" customWidth="1"/>
    <col min="8699" max="8699" width="26.140625" style="824" customWidth="1"/>
    <col min="8700" max="8700" width="14.85546875" style="824" customWidth="1"/>
    <col min="8701" max="8701" width="14.5703125" style="824" customWidth="1"/>
    <col min="8702" max="8702" width="15.28515625" style="824" customWidth="1"/>
    <col min="8703" max="8704" width="27.42578125" style="824" customWidth="1"/>
    <col min="8705" max="8705" width="25.42578125" style="824" customWidth="1"/>
    <col min="8706" max="8706" width="27.7109375" style="824" customWidth="1"/>
    <col min="8707" max="8707" width="25.42578125" style="824" bestFit="1" customWidth="1"/>
    <col min="8708" max="8952" width="9.140625" style="824"/>
    <col min="8953" max="8953" width="6" style="824" customWidth="1"/>
    <col min="8954" max="8954" width="25.42578125" style="824" customWidth="1"/>
    <col min="8955" max="8955" width="26.140625" style="824" customWidth="1"/>
    <col min="8956" max="8956" width="14.85546875" style="824" customWidth="1"/>
    <col min="8957" max="8957" width="14.5703125" style="824" customWidth="1"/>
    <col min="8958" max="8958" width="15.28515625" style="824" customWidth="1"/>
    <col min="8959" max="8960" width="27.42578125" style="824" customWidth="1"/>
    <col min="8961" max="8961" width="25.42578125" style="824" customWidth="1"/>
    <col min="8962" max="8962" width="27.7109375" style="824" customWidth="1"/>
    <col min="8963" max="8963" width="25.42578125" style="824" bestFit="1" customWidth="1"/>
    <col min="8964" max="9208" width="9.140625" style="824"/>
    <col min="9209" max="9209" width="6" style="824" customWidth="1"/>
    <col min="9210" max="9210" width="25.42578125" style="824" customWidth="1"/>
    <col min="9211" max="9211" width="26.140625" style="824" customWidth="1"/>
    <col min="9212" max="9212" width="14.85546875" style="824" customWidth="1"/>
    <col min="9213" max="9213" width="14.5703125" style="824" customWidth="1"/>
    <col min="9214" max="9214" width="15.28515625" style="824" customWidth="1"/>
    <col min="9215" max="9216" width="27.42578125" style="824" customWidth="1"/>
    <col min="9217" max="9217" width="25.42578125" style="824" customWidth="1"/>
    <col min="9218" max="9218" width="27.7109375" style="824" customWidth="1"/>
    <col min="9219" max="9219" width="25.42578125" style="824" bestFit="1" customWidth="1"/>
    <col min="9220" max="9464" width="9.140625" style="824"/>
    <col min="9465" max="9465" width="6" style="824" customWidth="1"/>
    <col min="9466" max="9466" width="25.42578125" style="824" customWidth="1"/>
    <col min="9467" max="9467" width="26.140625" style="824" customWidth="1"/>
    <col min="9468" max="9468" width="14.85546875" style="824" customWidth="1"/>
    <col min="9469" max="9469" width="14.5703125" style="824" customWidth="1"/>
    <col min="9470" max="9470" width="15.28515625" style="824" customWidth="1"/>
    <col min="9471" max="9472" width="27.42578125" style="824" customWidth="1"/>
    <col min="9473" max="9473" width="25.42578125" style="824" customWidth="1"/>
    <col min="9474" max="9474" width="27.7109375" style="824" customWidth="1"/>
    <col min="9475" max="9475" width="25.42578125" style="824" bestFit="1" customWidth="1"/>
    <col min="9476" max="9720" width="9.140625" style="824"/>
    <col min="9721" max="9721" width="6" style="824" customWidth="1"/>
    <col min="9722" max="9722" width="25.42578125" style="824" customWidth="1"/>
    <col min="9723" max="9723" width="26.140625" style="824" customWidth="1"/>
    <col min="9724" max="9724" width="14.85546875" style="824" customWidth="1"/>
    <col min="9725" max="9725" width="14.5703125" style="824" customWidth="1"/>
    <col min="9726" max="9726" width="15.28515625" style="824" customWidth="1"/>
    <col min="9727" max="9728" width="27.42578125" style="824" customWidth="1"/>
    <col min="9729" max="9729" width="25.42578125" style="824" customWidth="1"/>
    <col min="9730" max="9730" width="27.7109375" style="824" customWidth="1"/>
    <col min="9731" max="9731" width="25.42578125" style="824" bestFit="1" customWidth="1"/>
    <col min="9732" max="9976" width="9.140625" style="824"/>
    <col min="9977" max="9977" width="6" style="824" customWidth="1"/>
    <col min="9978" max="9978" width="25.42578125" style="824" customWidth="1"/>
    <col min="9979" max="9979" width="26.140625" style="824" customWidth="1"/>
    <col min="9980" max="9980" width="14.85546875" style="824" customWidth="1"/>
    <col min="9981" max="9981" width="14.5703125" style="824" customWidth="1"/>
    <col min="9982" max="9982" width="15.28515625" style="824" customWidth="1"/>
    <col min="9983" max="9984" width="27.42578125" style="824" customWidth="1"/>
    <col min="9985" max="9985" width="25.42578125" style="824" customWidth="1"/>
    <col min="9986" max="9986" width="27.7109375" style="824" customWidth="1"/>
    <col min="9987" max="9987" width="25.42578125" style="824" bestFit="1" customWidth="1"/>
    <col min="9988" max="10232" width="9.140625" style="824"/>
    <col min="10233" max="10233" width="6" style="824" customWidth="1"/>
    <col min="10234" max="10234" width="25.42578125" style="824" customWidth="1"/>
    <col min="10235" max="10235" width="26.140625" style="824" customWidth="1"/>
    <col min="10236" max="10236" width="14.85546875" style="824" customWidth="1"/>
    <col min="10237" max="10237" width="14.5703125" style="824" customWidth="1"/>
    <col min="10238" max="10238" width="15.28515625" style="824" customWidth="1"/>
    <col min="10239" max="10240" width="27.42578125" style="824" customWidth="1"/>
    <col min="10241" max="10241" width="25.42578125" style="824" customWidth="1"/>
    <col min="10242" max="10242" width="27.7109375" style="824" customWidth="1"/>
    <col min="10243" max="10243" width="25.42578125" style="824" bestFit="1" customWidth="1"/>
    <col min="10244" max="10488" width="9.140625" style="824"/>
    <col min="10489" max="10489" width="6" style="824" customWidth="1"/>
    <col min="10490" max="10490" width="25.42578125" style="824" customWidth="1"/>
    <col min="10491" max="10491" width="26.140625" style="824" customWidth="1"/>
    <col min="10492" max="10492" width="14.85546875" style="824" customWidth="1"/>
    <col min="10493" max="10493" width="14.5703125" style="824" customWidth="1"/>
    <col min="10494" max="10494" width="15.28515625" style="824" customWidth="1"/>
    <col min="10495" max="10496" width="27.42578125" style="824" customWidth="1"/>
    <col min="10497" max="10497" width="25.42578125" style="824" customWidth="1"/>
    <col min="10498" max="10498" width="27.7109375" style="824" customWidth="1"/>
    <col min="10499" max="10499" width="25.42578125" style="824" bestFit="1" customWidth="1"/>
    <col min="10500" max="10744" width="9.140625" style="824"/>
    <col min="10745" max="10745" width="6" style="824" customWidth="1"/>
    <col min="10746" max="10746" width="25.42578125" style="824" customWidth="1"/>
    <col min="10747" max="10747" width="26.140625" style="824" customWidth="1"/>
    <col min="10748" max="10748" width="14.85546875" style="824" customWidth="1"/>
    <col min="10749" max="10749" width="14.5703125" style="824" customWidth="1"/>
    <col min="10750" max="10750" width="15.28515625" style="824" customWidth="1"/>
    <col min="10751" max="10752" width="27.42578125" style="824" customWidth="1"/>
    <col min="10753" max="10753" width="25.42578125" style="824" customWidth="1"/>
    <col min="10754" max="10754" width="27.7109375" style="824" customWidth="1"/>
    <col min="10755" max="10755" width="25.42578125" style="824" bestFit="1" customWidth="1"/>
    <col min="10756" max="11000" width="9.140625" style="824"/>
    <col min="11001" max="11001" width="6" style="824" customWidth="1"/>
    <col min="11002" max="11002" width="25.42578125" style="824" customWidth="1"/>
    <col min="11003" max="11003" width="26.140625" style="824" customWidth="1"/>
    <col min="11004" max="11004" width="14.85546875" style="824" customWidth="1"/>
    <col min="11005" max="11005" width="14.5703125" style="824" customWidth="1"/>
    <col min="11006" max="11006" width="15.28515625" style="824" customWidth="1"/>
    <col min="11007" max="11008" width="27.42578125" style="824" customWidth="1"/>
    <col min="11009" max="11009" width="25.42578125" style="824" customWidth="1"/>
    <col min="11010" max="11010" width="27.7109375" style="824" customWidth="1"/>
    <col min="11011" max="11011" width="25.42578125" style="824" bestFit="1" customWidth="1"/>
    <col min="11012" max="11256" width="9.140625" style="824"/>
    <col min="11257" max="11257" width="6" style="824" customWidth="1"/>
    <col min="11258" max="11258" width="25.42578125" style="824" customWidth="1"/>
    <col min="11259" max="11259" width="26.140625" style="824" customWidth="1"/>
    <col min="11260" max="11260" width="14.85546875" style="824" customWidth="1"/>
    <col min="11261" max="11261" width="14.5703125" style="824" customWidth="1"/>
    <col min="11262" max="11262" width="15.28515625" style="824" customWidth="1"/>
    <col min="11263" max="11264" width="27.42578125" style="824" customWidth="1"/>
    <col min="11265" max="11265" width="25.42578125" style="824" customWidth="1"/>
    <col min="11266" max="11266" width="27.7109375" style="824" customWidth="1"/>
    <col min="11267" max="11267" width="25.42578125" style="824" bestFit="1" customWidth="1"/>
    <col min="11268" max="11512" width="9.140625" style="824"/>
    <col min="11513" max="11513" width="6" style="824" customWidth="1"/>
    <col min="11514" max="11514" width="25.42578125" style="824" customWidth="1"/>
    <col min="11515" max="11515" width="26.140625" style="824" customWidth="1"/>
    <col min="11516" max="11516" width="14.85546875" style="824" customWidth="1"/>
    <col min="11517" max="11517" width="14.5703125" style="824" customWidth="1"/>
    <col min="11518" max="11518" width="15.28515625" style="824" customWidth="1"/>
    <col min="11519" max="11520" width="27.42578125" style="824" customWidth="1"/>
    <col min="11521" max="11521" width="25.42578125" style="824" customWidth="1"/>
    <col min="11522" max="11522" width="27.7109375" style="824" customWidth="1"/>
    <col min="11523" max="11523" width="25.42578125" style="824" bestFit="1" customWidth="1"/>
    <col min="11524" max="11768" width="9.140625" style="824"/>
    <col min="11769" max="11769" width="6" style="824" customWidth="1"/>
    <col min="11770" max="11770" width="25.42578125" style="824" customWidth="1"/>
    <col min="11771" max="11771" width="26.140625" style="824" customWidth="1"/>
    <col min="11772" max="11772" width="14.85546875" style="824" customWidth="1"/>
    <col min="11773" max="11773" width="14.5703125" style="824" customWidth="1"/>
    <col min="11774" max="11774" width="15.28515625" style="824" customWidth="1"/>
    <col min="11775" max="11776" width="27.42578125" style="824" customWidth="1"/>
    <col min="11777" max="11777" width="25.42578125" style="824" customWidth="1"/>
    <col min="11778" max="11778" width="27.7109375" style="824" customWidth="1"/>
    <col min="11779" max="11779" width="25.42578125" style="824" bestFit="1" customWidth="1"/>
    <col min="11780" max="12024" width="9.140625" style="824"/>
    <col min="12025" max="12025" width="6" style="824" customWidth="1"/>
    <col min="12026" max="12026" width="25.42578125" style="824" customWidth="1"/>
    <col min="12027" max="12027" width="26.140625" style="824" customWidth="1"/>
    <col min="12028" max="12028" width="14.85546875" style="824" customWidth="1"/>
    <col min="12029" max="12029" width="14.5703125" style="824" customWidth="1"/>
    <col min="12030" max="12030" width="15.28515625" style="824" customWidth="1"/>
    <col min="12031" max="12032" width="27.42578125" style="824" customWidth="1"/>
    <col min="12033" max="12033" width="25.42578125" style="824" customWidth="1"/>
    <col min="12034" max="12034" width="27.7109375" style="824" customWidth="1"/>
    <col min="12035" max="12035" width="25.42578125" style="824" bestFit="1" customWidth="1"/>
    <col min="12036" max="12280" width="9.140625" style="824"/>
    <col min="12281" max="12281" width="6" style="824" customWidth="1"/>
    <col min="12282" max="12282" width="25.42578125" style="824" customWidth="1"/>
    <col min="12283" max="12283" width="26.140625" style="824" customWidth="1"/>
    <col min="12284" max="12284" width="14.85546875" style="824" customWidth="1"/>
    <col min="12285" max="12285" width="14.5703125" style="824" customWidth="1"/>
    <col min="12286" max="12286" width="15.28515625" style="824" customWidth="1"/>
    <col min="12287" max="12288" width="27.42578125" style="824" customWidth="1"/>
    <col min="12289" max="12289" width="25.42578125" style="824" customWidth="1"/>
    <col min="12290" max="12290" width="27.7109375" style="824" customWidth="1"/>
    <col min="12291" max="12291" width="25.42578125" style="824" bestFit="1" customWidth="1"/>
    <col min="12292" max="12536" width="9.140625" style="824"/>
    <col min="12537" max="12537" width="6" style="824" customWidth="1"/>
    <col min="12538" max="12538" width="25.42578125" style="824" customWidth="1"/>
    <col min="12539" max="12539" width="26.140625" style="824" customWidth="1"/>
    <col min="12540" max="12540" width="14.85546875" style="824" customWidth="1"/>
    <col min="12541" max="12541" width="14.5703125" style="824" customWidth="1"/>
    <col min="12542" max="12542" width="15.28515625" style="824" customWidth="1"/>
    <col min="12543" max="12544" width="27.42578125" style="824" customWidth="1"/>
    <col min="12545" max="12545" width="25.42578125" style="824" customWidth="1"/>
    <col min="12546" max="12546" width="27.7109375" style="824" customWidth="1"/>
    <col min="12547" max="12547" width="25.42578125" style="824" bestFit="1" customWidth="1"/>
    <col min="12548" max="12792" width="9.140625" style="824"/>
    <col min="12793" max="12793" width="6" style="824" customWidth="1"/>
    <col min="12794" max="12794" width="25.42578125" style="824" customWidth="1"/>
    <col min="12795" max="12795" width="26.140625" style="824" customWidth="1"/>
    <col min="12796" max="12796" width="14.85546875" style="824" customWidth="1"/>
    <col min="12797" max="12797" width="14.5703125" style="824" customWidth="1"/>
    <col min="12798" max="12798" width="15.28515625" style="824" customWidth="1"/>
    <col min="12799" max="12800" width="27.42578125" style="824" customWidth="1"/>
    <col min="12801" max="12801" width="25.42578125" style="824" customWidth="1"/>
    <col min="12802" max="12802" width="27.7109375" style="824" customWidth="1"/>
    <col min="12803" max="12803" width="25.42578125" style="824" bestFit="1" customWidth="1"/>
    <col min="12804" max="13048" width="9.140625" style="824"/>
    <col min="13049" max="13049" width="6" style="824" customWidth="1"/>
    <col min="13050" max="13050" width="25.42578125" style="824" customWidth="1"/>
    <col min="13051" max="13051" width="26.140625" style="824" customWidth="1"/>
    <col min="13052" max="13052" width="14.85546875" style="824" customWidth="1"/>
    <col min="13053" max="13053" width="14.5703125" style="824" customWidth="1"/>
    <col min="13054" max="13054" width="15.28515625" style="824" customWidth="1"/>
    <col min="13055" max="13056" width="27.42578125" style="824" customWidth="1"/>
    <col min="13057" max="13057" width="25.42578125" style="824" customWidth="1"/>
    <col min="13058" max="13058" width="27.7109375" style="824" customWidth="1"/>
    <col min="13059" max="13059" width="25.42578125" style="824" bestFit="1" customWidth="1"/>
    <col min="13060" max="13304" width="9.140625" style="824"/>
    <col min="13305" max="13305" width="6" style="824" customWidth="1"/>
    <col min="13306" max="13306" width="25.42578125" style="824" customWidth="1"/>
    <col min="13307" max="13307" width="26.140625" style="824" customWidth="1"/>
    <col min="13308" max="13308" width="14.85546875" style="824" customWidth="1"/>
    <col min="13309" max="13309" width="14.5703125" style="824" customWidth="1"/>
    <col min="13310" max="13310" width="15.28515625" style="824" customWidth="1"/>
    <col min="13311" max="13312" width="27.42578125" style="824" customWidth="1"/>
    <col min="13313" max="13313" width="25.42578125" style="824" customWidth="1"/>
    <col min="13314" max="13314" width="27.7109375" style="824" customWidth="1"/>
    <col min="13315" max="13315" width="25.42578125" style="824" bestFit="1" customWidth="1"/>
    <col min="13316" max="13560" width="9.140625" style="824"/>
    <col min="13561" max="13561" width="6" style="824" customWidth="1"/>
    <col min="13562" max="13562" width="25.42578125" style="824" customWidth="1"/>
    <col min="13563" max="13563" width="26.140625" style="824" customWidth="1"/>
    <col min="13564" max="13564" width="14.85546875" style="824" customWidth="1"/>
    <col min="13565" max="13565" width="14.5703125" style="824" customWidth="1"/>
    <col min="13566" max="13566" width="15.28515625" style="824" customWidth="1"/>
    <col min="13567" max="13568" width="27.42578125" style="824" customWidth="1"/>
    <col min="13569" max="13569" width="25.42578125" style="824" customWidth="1"/>
    <col min="13570" max="13570" width="27.7109375" style="824" customWidth="1"/>
    <col min="13571" max="13571" width="25.42578125" style="824" bestFit="1" customWidth="1"/>
    <col min="13572" max="13816" width="9.140625" style="824"/>
    <col min="13817" max="13817" width="6" style="824" customWidth="1"/>
    <col min="13818" max="13818" width="25.42578125" style="824" customWidth="1"/>
    <col min="13819" max="13819" width="26.140625" style="824" customWidth="1"/>
    <col min="13820" max="13820" width="14.85546875" style="824" customWidth="1"/>
    <col min="13821" max="13821" width="14.5703125" style="824" customWidth="1"/>
    <col min="13822" max="13822" width="15.28515625" style="824" customWidth="1"/>
    <col min="13823" max="13824" width="27.42578125" style="824" customWidth="1"/>
    <col min="13825" max="13825" width="25.42578125" style="824" customWidth="1"/>
    <col min="13826" max="13826" width="27.7109375" style="824" customWidth="1"/>
    <col min="13827" max="13827" width="25.42578125" style="824" bestFit="1" customWidth="1"/>
    <col min="13828" max="14072" width="9.140625" style="824"/>
    <col min="14073" max="14073" width="6" style="824" customWidth="1"/>
    <col min="14074" max="14074" width="25.42578125" style="824" customWidth="1"/>
    <col min="14075" max="14075" width="26.140625" style="824" customWidth="1"/>
    <col min="14076" max="14076" width="14.85546875" style="824" customWidth="1"/>
    <col min="14077" max="14077" width="14.5703125" style="824" customWidth="1"/>
    <col min="14078" max="14078" width="15.28515625" style="824" customWidth="1"/>
    <col min="14079" max="14080" width="27.42578125" style="824" customWidth="1"/>
    <col min="14081" max="14081" width="25.42578125" style="824" customWidth="1"/>
    <col min="14082" max="14082" width="27.7109375" style="824" customWidth="1"/>
    <col min="14083" max="14083" width="25.42578125" style="824" bestFit="1" customWidth="1"/>
    <col min="14084" max="14328" width="9.140625" style="824"/>
    <col min="14329" max="14329" width="6" style="824" customWidth="1"/>
    <col min="14330" max="14330" width="25.42578125" style="824" customWidth="1"/>
    <col min="14331" max="14331" width="26.140625" style="824" customWidth="1"/>
    <col min="14332" max="14332" width="14.85546875" style="824" customWidth="1"/>
    <col min="14333" max="14333" width="14.5703125" style="824" customWidth="1"/>
    <col min="14334" max="14334" width="15.28515625" style="824" customWidth="1"/>
    <col min="14335" max="14336" width="27.42578125" style="824" customWidth="1"/>
    <col min="14337" max="14337" width="25.42578125" style="824" customWidth="1"/>
    <col min="14338" max="14338" width="27.7109375" style="824" customWidth="1"/>
    <col min="14339" max="14339" width="25.42578125" style="824" bestFit="1" customWidth="1"/>
    <col min="14340" max="14584" width="9.140625" style="824"/>
    <col min="14585" max="14585" width="6" style="824" customWidth="1"/>
    <col min="14586" max="14586" width="25.42578125" style="824" customWidth="1"/>
    <col min="14587" max="14587" width="26.140625" style="824" customWidth="1"/>
    <col min="14588" max="14588" width="14.85546875" style="824" customWidth="1"/>
    <col min="14589" max="14589" width="14.5703125" style="824" customWidth="1"/>
    <col min="14590" max="14590" width="15.28515625" style="824" customWidth="1"/>
    <col min="14591" max="14592" width="27.42578125" style="824" customWidth="1"/>
    <col min="14593" max="14593" width="25.42578125" style="824" customWidth="1"/>
    <col min="14594" max="14594" width="27.7109375" style="824" customWidth="1"/>
    <col min="14595" max="14595" width="25.42578125" style="824" bestFit="1" customWidth="1"/>
    <col min="14596" max="14840" width="9.140625" style="824"/>
    <col min="14841" max="14841" width="6" style="824" customWidth="1"/>
    <col min="14842" max="14842" width="25.42578125" style="824" customWidth="1"/>
    <col min="14843" max="14843" width="26.140625" style="824" customWidth="1"/>
    <col min="14844" max="14844" width="14.85546875" style="824" customWidth="1"/>
    <col min="14845" max="14845" width="14.5703125" style="824" customWidth="1"/>
    <col min="14846" max="14846" width="15.28515625" style="824" customWidth="1"/>
    <col min="14847" max="14848" width="27.42578125" style="824" customWidth="1"/>
    <col min="14849" max="14849" width="25.42578125" style="824" customWidth="1"/>
    <col min="14850" max="14850" width="27.7109375" style="824" customWidth="1"/>
    <col min="14851" max="14851" width="25.42578125" style="824" bestFit="1" customWidth="1"/>
    <col min="14852" max="15096" width="9.140625" style="824"/>
    <col min="15097" max="15097" width="6" style="824" customWidth="1"/>
    <col min="15098" max="15098" width="25.42578125" style="824" customWidth="1"/>
    <col min="15099" max="15099" width="26.140625" style="824" customWidth="1"/>
    <col min="15100" max="15100" width="14.85546875" style="824" customWidth="1"/>
    <col min="15101" max="15101" width="14.5703125" style="824" customWidth="1"/>
    <col min="15102" max="15102" width="15.28515625" style="824" customWidth="1"/>
    <col min="15103" max="15104" width="27.42578125" style="824" customWidth="1"/>
    <col min="15105" max="15105" width="25.42578125" style="824" customWidth="1"/>
    <col min="15106" max="15106" width="27.7109375" style="824" customWidth="1"/>
    <col min="15107" max="15107" width="25.42578125" style="824" bestFit="1" customWidth="1"/>
    <col min="15108" max="15352" width="9.140625" style="824"/>
    <col min="15353" max="15353" width="6" style="824" customWidth="1"/>
    <col min="15354" max="15354" width="25.42578125" style="824" customWidth="1"/>
    <col min="15355" max="15355" width="26.140625" style="824" customWidth="1"/>
    <col min="15356" max="15356" width="14.85546875" style="824" customWidth="1"/>
    <col min="15357" max="15357" width="14.5703125" style="824" customWidth="1"/>
    <col min="15358" max="15358" width="15.28515625" style="824" customWidth="1"/>
    <col min="15359" max="15360" width="27.42578125" style="824" customWidth="1"/>
    <col min="15361" max="15361" width="25.42578125" style="824" customWidth="1"/>
    <col min="15362" max="15362" width="27.7109375" style="824" customWidth="1"/>
    <col min="15363" max="15363" width="25.42578125" style="824" bestFit="1" customWidth="1"/>
    <col min="15364" max="15608" width="9.140625" style="824"/>
    <col min="15609" max="15609" width="6" style="824" customWidth="1"/>
    <col min="15610" max="15610" width="25.42578125" style="824" customWidth="1"/>
    <col min="15611" max="15611" width="26.140625" style="824" customWidth="1"/>
    <col min="15612" max="15612" width="14.85546875" style="824" customWidth="1"/>
    <col min="15613" max="15613" width="14.5703125" style="824" customWidth="1"/>
    <col min="15614" max="15614" width="15.28515625" style="824" customWidth="1"/>
    <col min="15615" max="15616" width="27.42578125" style="824" customWidth="1"/>
    <col min="15617" max="15617" width="25.42578125" style="824" customWidth="1"/>
    <col min="15618" max="15618" width="27.7109375" style="824" customWidth="1"/>
    <col min="15619" max="15619" width="25.42578125" style="824" bestFit="1" customWidth="1"/>
    <col min="15620" max="15864" width="9.140625" style="824"/>
    <col min="15865" max="15865" width="6" style="824" customWidth="1"/>
    <col min="15866" max="15866" width="25.42578125" style="824" customWidth="1"/>
    <col min="15867" max="15867" width="26.140625" style="824" customWidth="1"/>
    <col min="15868" max="15868" width="14.85546875" style="824" customWidth="1"/>
    <col min="15869" max="15869" width="14.5703125" style="824" customWidth="1"/>
    <col min="15870" max="15870" width="15.28515625" style="824" customWidth="1"/>
    <col min="15871" max="15872" width="27.42578125" style="824" customWidth="1"/>
    <col min="15873" max="15873" width="25.42578125" style="824" customWidth="1"/>
    <col min="15874" max="15874" width="27.7109375" style="824" customWidth="1"/>
    <col min="15875" max="15875" width="25.42578125" style="824" bestFit="1" customWidth="1"/>
    <col min="15876" max="16120" width="9.140625" style="824"/>
    <col min="16121" max="16121" width="6" style="824" customWidth="1"/>
    <col min="16122" max="16122" width="25.42578125" style="824" customWidth="1"/>
    <col min="16123" max="16123" width="26.140625" style="824" customWidth="1"/>
    <col min="16124" max="16124" width="14.85546875" style="824" customWidth="1"/>
    <col min="16125" max="16125" width="14.5703125" style="824" customWidth="1"/>
    <col min="16126" max="16126" width="15.28515625" style="824" customWidth="1"/>
    <col min="16127" max="16128" width="27.42578125" style="824" customWidth="1"/>
    <col min="16129" max="16129" width="25.42578125" style="824" customWidth="1"/>
    <col min="16130" max="16130" width="27.7109375" style="824" customWidth="1"/>
    <col min="16131" max="16131" width="25.42578125" style="824" bestFit="1" customWidth="1"/>
    <col min="16132" max="16384" width="9.140625" style="824"/>
  </cols>
  <sheetData>
    <row r="1" spans="1:24" ht="33.75" hidden="1" customHeight="1" thickBot="1" x14ac:dyDescent="0.45">
      <c r="A1" s="1026" t="s">
        <v>48</v>
      </c>
      <c r="B1" s="1026"/>
      <c r="C1" s="1026"/>
      <c r="D1" s="1026"/>
      <c r="E1" s="1026"/>
      <c r="F1" s="1026"/>
      <c r="G1" s="1026"/>
      <c r="H1" s="1026"/>
      <c r="I1" s="1026"/>
      <c r="J1" s="1026"/>
      <c r="O1" s="1026" t="s">
        <v>48</v>
      </c>
      <c r="P1" s="1026"/>
      <c r="Q1" s="1026"/>
      <c r="R1" s="1026"/>
      <c r="S1" s="1026"/>
      <c r="T1" s="1026"/>
      <c r="U1" s="1026"/>
      <c r="V1" s="1026"/>
      <c r="W1" s="1026"/>
      <c r="X1" s="1026"/>
    </row>
    <row r="2" spans="1:24" s="825" customFormat="1" ht="24" hidden="1" customHeight="1" thickBot="1" x14ac:dyDescent="0.3">
      <c r="A2" s="1026" t="s">
        <v>163</v>
      </c>
      <c r="B2" s="1026"/>
      <c r="C2" s="1026"/>
      <c r="D2" s="1026"/>
      <c r="E2" s="1026"/>
      <c r="F2" s="1026"/>
      <c r="G2" s="1026"/>
      <c r="H2" s="1026"/>
      <c r="I2" s="1026"/>
      <c r="J2" s="1026"/>
      <c r="O2" s="1026" t="s">
        <v>163</v>
      </c>
      <c r="P2" s="1026"/>
      <c r="Q2" s="1026"/>
      <c r="R2" s="1026"/>
      <c r="S2" s="1026"/>
      <c r="T2" s="1026"/>
      <c r="U2" s="1026"/>
      <c r="V2" s="1026"/>
      <c r="W2" s="1026"/>
      <c r="X2" s="1026"/>
    </row>
    <row r="3" spans="1:24" ht="21" hidden="1" customHeight="1" thickBot="1" x14ac:dyDescent="0.45">
      <c r="A3" s="23"/>
      <c r="B3" s="23"/>
      <c r="C3" s="23"/>
      <c r="D3" s="23"/>
      <c r="E3" s="23"/>
      <c r="F3" s="23" t="s">
        <v>32</v>
      </c>
      <c r="G3" s="23"/>
      <c r="H3" s="23"/>
      <c r="I3" s="23"/>
      <c r="J3" s="23" t="s">
        <v>20</v>
      </c>
      <c r="O3" s="23"/>
      <c r="P3" s="23"/>
      <c r="Q3" s="23"/>
      <c r="R3" s="23"/>
      <c r="S3" s="23"/>
      <c r="T3" s="23" t="s">
        <v>32</v>
      </c>
      <c r="U3" s="23"/>
      <c r="V3" s="23"/>
      <c r="W3" s="23"/>
      <c r="X3" s="23" t="s">
        <v>20</v>
      </c>
    </row>
    <row r="4" spans="1:24" ht="27.75" customHeight="1" thickBot="1" x14ac:dyDescent="0.45">
      <c r="A4" s="1027" t="s">
        <v>15</v>
      </c>
      <c r="B4" s="1029" t="s">
        <v>49</v>
      </c>
      <c r="C4" s="1029" t="s">
        <v>50</v>
      </c>
      <c r="D4" s="1031" t="s">
        <v>67</v>
      </c>
      <c r="E4" s="1032"/>
      <c r="F4" s="1027" t="s">
        <v>51</v>
      </c>
      <c r="G4" s="1035" t="s">
        <v>28</v>
      </c>
      <c r="H4" s="1037" t="s">
        <v>52</v>
      </c>
      <c r="I4" s="1038"/>
      <c r="J4" s="1035" t="s">
        <v>53</v>
      </c>
      <c r="O4" s="1027" t="s">
        <v>15</v>
      </c>
      <c r="P4" s="1029" t="s">
        <v>49</v>
      </c>
      <c r="Q4" s="1029" t="s">
        <v>50</v>
      </c>
      <c r="R4" s="1031" t="s">
        <v>67</v>
      </c>
      <c r="S4" s="1032"/>
      <c r="T4" s="1027" t="s">
        <v>51</v>
      </c>
      <c r="U4" s="1035" t="s">
        <v>28</v>
      </c>
      <c r="V4" s="1037" t="s">
        <v>52</v>
      </c>
      <c r="W4" s="1038"/>
      <c r="X4" s="1035" t="s">
        <v>53</v>
      </c>
    </row>
    <row r="5" spans="1:24" ht="34.5" customHeight="1" thickBot="1" x14ac:dyDescent="0.45">
      <c r="A5" s="1028"/>
      <c r="B5" s="1030"/>
      <c r="C5" s="1030"/>
      <c r="D5" s="1033"/>
      <c r="E5" s="1034"/>
      <c r="F5" s="1028"/>
      <c r="G5" s="1036"/>
      <c r="H5" s="808" t="s">
        <v>54</v>
      </c>
      <c r="I5" s="24" t="s">
        <v>55</v>
      </c>
      <c r="J5" s="1036"/>
      <c r="O5" s="1028"/>
      <c r="P5" s="1030"/>
      <c r="Q5" s="1030"/>
      <c r="R5" s="1033"/>
      <c r="S5" s="1034"/>
      <c r="T5" s="1028"/>
      <c r="U5" s="1036"/>
      <c r="V5" s="884" t="s">
        <v>54</v>
      </c>
      <c r="W5" s="24" t="s">
        <v>55</v>
      </c>
      <c r="X5" s="1036"/>
    </row>
    <row r="6" spans="1:24" ht="21.75" hidden="1" thickBot="1" x14ac:dyDescent="0.45">
      <c r="A6" s="25">
        <v>1</v>
      </c>
      <c r="B6" s="26">
        <v>500000000</v>
      </c>
      <c r="C6" s="27">
        <v>0.08</v>
      </c>
      <c r="D6" s="28">
        <v>41029</v>
      </c>
      <c r="E6" s="29">
        <v>41095</v>
      </c>
      <c r="F6" s="25">
        <f>E6-D6+1</f>
        <v>67</v>
      </c>
      <c r="G6" s="30">
        <f>B6*C6*F6/366</f>
        <v>7322404.3715846995</v>
      </c>
      <c r="H6" s="31"/>
      <c r="I6" s="32">
        <v>0</v>
      </c>
      <c r="J6" s="33">
        <f>G6-I6</f>
        <v>7322404.3715846995</v>
      </c>
      <c r="O6" s="25">
        <v>1</v>
      </c>
      <c r="P6" s="26">
        <v>500000000</v>
      </c>
      <c r="Q6" s="27">
        <v>0.08</v>
      </c>
      <c r="R6" s="28">
        <v>41029</v>
      </c>
      <c r="S6" s="29">
        <v>41095</v>
      </c>
      <c r="T6" s="25">
        <f>S6-R6+1</f>
        <v>67</v>
      </c>
      <c r="U6" s="30">
        <f>P6*Q6*T6/366</f>
        <v>7322404.3715846995</v>
      </c>
      <c r="V6" s="31"/>
      <c r="W6" s="32">
        <v>0</v>
      </c>
      <c r="X6" s="33">
        <f>U6-W6</f>
        <v>7322404.3715846995</v>
      </c>
    </row>
    <row r="7" spans="1:24" ht="21.75" hidden="1" thickBot="1" x14ac:dyDescent="0.45">
      <c r="A7" s="34">
        <v>2</v>
      </c>
      <c r="B7" s="35">
        <v>500000000</v>
      </c>
      <c r="C7" s="36">
        <v>6.8000000000000005E-2</v>
      </c>
      <c r="D7" s="37">
        <v>41096</v>
      </c>
      <c r="E7" s="38">
        <v>41136</v>
      </c>
      <c r="F7" s="34">
        <f>E7-D7</f>
        <v>40</v>
      </c>
      <c r="G7" s="39">
        <f>B7*C7*F7/366</f>
        <v>3715846.9945355193</v>
      </c>
      <c r="H7" s="40"/>
      <c r="I7" s="41">
        <v>0</v>
      </c>
      <c r="J7" s="42">
        <f>G7-I7</f>
        <v>3715846.9945355193</v>
      </c>
      <c r="O7" s="34">
        <v>2</v>
      </c>
      <c r="P7" s="35">
        <v>500000000</v>
      </c>
      <c r="Q7" s="36">
        <v>6.8000000000000005E-2</v>
      </c>
      <c r="R7" s="37">
        <v>41096</v>
      </c>
      <c r="S7" s="38">
        <v>41136</v>
      </c>
      <c r="T7" s="34">
        <f>S7-R7</f>
        <v>40</v>
      </c>
      <c r="U7" s="39">
        <f>P7*Q7*T7/366</f>
        <v>3715846.9945355193</v>
      </c>
      <c r="V7" s="40"/>
      <c r="W7" s="41">
        <v>0</v>
      </c>
      <c r="X7" s="42">
        <f>U7-W7</f>
        <v>3715846.9945355193</v>
      </c>
    </row>
    <row r="8" spans="1:24" ht="21.75" hidden="1" thickBot="1" x14ac:dyDescent="0.45">
      <c r="A8" s="43">
        <v>3</v>
      </c>
      <c r="B8" s="44">
        <v>500000000</v>
      </c>
      <c r="C8" s="45">
        <v>6.5000000000000002E-2</v>
      </c>
      <c r="D8" s="46">
        <f>E7</f>
        <v>41136</v>
      </c>
      <c r="E8" s="47">
        <v>41274</v>
      </c>
      <c r="F8" s="48">
        <f>E8-D8</f>
        <v>138</v>
      </c>
      <c r="G8" s="49">
        <f>B8*C8*F8/366</f>
        <v>12254098.360655738</v>
      </c>
      <c r="H8" s="50"/>
      <c r="I8" s="51">
        <v>0</v>
      </c>
      <c r="J8" s="52">
        <f>G8-I8</f>
        <v>12254098.360655738</v>
      </c>
      <c r="O8" s="43">
        <v>3</v>
      </c>
      <c r="P8" s="44">
        <v>500000000</v>
      </c>
      <c r="Q8" s="45">
        <v>6.5000000000000002E-2</v>
      </c>
      <c r="R8" s="46">
        <f>S7</f>
        <v>41136</v>
      </c>
      <c r="S8" s="47">
        <v>41274</v>
      </c>
      <c r="T8" s="48">
        <f>S8-R8</f>
        <v>138</v>
      </c>
      <c r="U8" s="49">
        <f>P8*Q8*T8/366</f>
        <v>12254098.360655738</v>
      </c>
      <c r="V8" s="50"/>
      <c r="W8" s="51">
        <v>0</v>
      </c>
      <c r="X8" s="52">
        <f>U8-W8</f>
        <v>12254098.360655738</v>
      </c>
    </row>
    <row r="9" spans="1:24" s="826" customFormat="1" ht="21.75" thickBot="1" x14ac:dyDescent="0.45">
      <c r="A9" s="1017" t="s">
        <v>75</v>
      </c>
      <c r="B9" s="1018"/>
      <c r="C9" s="1018"/>
      <c r="D9" s="1018"/>
      <c r="E9" s="1019"/>
      <c r="F9" s="171">
        <f>SUM(F6:F8)</f>
        <v>245</v>
      </c>
      <c r="G9" s="198">
        <f>SUM(G6:G8)</f>
        <v>23292349.726775959</v>
      </c>
      <c r="H9" s="199">
        <v>0</v>
      </c>
      <c r="I9" s="200">
        <f>SUM(I6:I8)</f>
        <v>0</v>
      </c>
      <c r="J9" s="201">
        <f>SUM(J6:J8)</f>
        <v>23292349.726775959</v>
      </c>
      <c r="O9" s="1017" t="s">
        <v>75</v>
      </c>
      <c r="P9" s="1018"/>
      <c r="Q9" s="1018"/>
      <c r="R9" s="1018"/>
      <c r="S9" s="1019"/>
      <c r="T9" s="171">
        <f>SUM(T6:T8)</f>
        <v>245</v>
      </c>
      <c r="U9" s="198">
        <f>SUM(U6:U8)</f>
        <v>23292349.726775959</v>
      </c>
      <c r="V9" s="199">
        <v>0</v>
      </c>
      <c r="W9" s="200">
        <f>SUM(W6:W8)</f>
        <v>0</v>
      </c>
      <c r="X9" s="201">
        <f>SUM(X6:X8)</f>
        <v>23292349.726775959</v>
      </c>
    </row>
    <row r="10" spans="1:24" ht="21.75" hidden="1" thickBot="1" x14ac:dyDescent="0.45">
      <c r="A10" s="172">
        <v>1</v>
      </c>
      <c r="B10" s="202">
        <v>500000000</v>
      </c>
      <c r="C10" s="173">
        <v>6.5000000000000002E-2</v>
      </c>
      <c r="D10" s="174">
        <f>E8</f>
        <v>41274</v>
      </c>
      <c r="E10" s="175">
        <v>41462</v>
      </c>
      <c r="F10" s="176">
        <v>188</v>
      </c>
      <c r="G10" s="203">
        <f>B10*C10*F10/365</f>
        <v>16739726.02739726</v>
      </c>
      <c r="H10" s="204"/>
      <c r="I10" s="205">
        <v>0</v>
      </c>
      <c r="J10" s="206">
        <f>G10-I10</f>
        <v>16739726.02739726</v>
      </c>
      <c r="O10" s="172">
        <v>1</v>
      </c>
      <c r="P10" s="202">
        <v>500000000</v>
      </c>
      <c r="Q10" s="173">
        <v>6.5000000000000002E-2</v>
      </c>
      <c r="R10" s="174">
        <f>S8</f>
        <v>41274</v>
      </c>
      <c r="S10" s="175">
        <v>41462</v>
      </c>
      <c r="T10" s="176">
        <v>188</v>
      </c>
      <c r="U10" s="203">
        <f>P10*Q10*T10/365</f>
        <v>16739726.02739726</v>
      </c>
      <c r="V10" s="204"/>
      <c r="W10" s="205">
        <v>0</v>
      </c>
      <c r="X10" s="206">
        <f>U10-W10</f>
        <v>16739726.02739726</v>
      </c>
    </row>
    <row r="11" spans="1:24" ht="21.75" hidden="1" thickBot="1" x14ac:dyDescent="0.45">
      <c r="A11" s="177">
        <v>2</v>
      </c>
      <c r="B11" s="207">
        <v>500000000</v>
      </c>
      <c r="C11" s="178">
        <v>6.0999999999999999E-2</v>
      </c>
      <c r="D11" s="179">
        <v>41463</v>
      </c>
      <c r="E11" s="179">
        <v>41554</v>
      </c>
      <c r="F11" s="180">
        <f>E11-D11</f>
        <v>91</v>
      </c>
      <c r="G11" s="208">
        <f>B11*C11*F11/365</f>
        <v>7604109.5890410962</v>
      </c>
      <c r="H11" s="209"/>
      <c r="I11" s="210">
        <v>0</v>
      </c>
      <c r="J11" s="211">
        <f>G11-I11</f>
        <v>7604109.5890410962</v>
      </c>
      <c r="O11" s="177">
        <v>2</v>
      </c>
      <c r="P11" s="207">
        <v>500000000</v>
      </c>
      <c r="Q11" s="178">
        <v>6.0999999999999999E-2</v>
      </c>
      <c r="R11" s="179">
        <v>41463</v>
      </c>
      <c r="S11" s="179">
        <v>41554</v>
      </c>
      <c r="T11" s="180">
        <f>S11-R11</f>
        <v>91</v>
      </c>
      <c r="U11" s="208">
        <f>P11*Q11*T11/365</f>
        <v>7604109.5890410962</v>
      </c>
      <c r="V11" s="209"/>
      <c r="W11" s="210">
        <v>0</v>
      </c>
      <c r="X11" s="211">
        <f>U11-W11</f>
        <v>7604109.5890410962</v>
      </c>
    </row>
    <row r="12" spans="1:24" ht="21.75" hidden="1" thickBot="1" x14ac:dyDescent="0.45">
      <c r="A12" s="181">
        <v>3</v>
      </c>
      <c r="B12" s="212">
        <v>500000000</v>
      </c>
      <c r="C12" s="182">
        <v>5.5E-2</v>
      </c>
      <c r="D12" s="183">
        <f>E11</f>
        <v>41554</v>
      </c>
      <c r="E12" s="184">
        <v>41639</v>
      </c>
      <c r="F12" s="185">
        <v>86</v>
      </c>
      <c r="G12" s="213">
        <f>B12*C12*F12/365</f>
        <v>6479452.0547945201</v>
      </c>
      <c r="H12" s="214"/>
      <c r="I12" s="215">
        <v>0</v>
      </c>
      <c r="J12" s="216">
        <f>G12-I12</f>
        <v>6479452.0547945201</v>
      </c>
      <c r="O12" s="181">
        <v>3</v>
      </c>
      <c r="P12" s="212">
        <v>500000000</v>
      </c>
      <c r="Q12" s="182">
        <v>5.5E-2</v>
      </c>
      <c r="R12" s="183">
        <f>S11</f>
        <v>41554</v>
      </c>
      <c r="S12" s="184">
        <v>41639</v>
      </c>
      <c r="T12" s="185">
        <v>86</v>
      </c>
      <c r="U12" s="213">
        <f>P12*Q12*T12/365</f>
        <v>6479452.0547945201</v>
      </c>
      <c r="V12" s="214"/>
      <c r="W12" s="215">
        <v>0</v>
      </c>
      <c r="X12" s="216">
        <f>U12-W12</f>
        <v>6479452.0547945201</v>
      </c>
    </row>
    <row r="13" spans="1:24" s="826" customFormat="1" ht="21" customHeight="1" thickBot="1" x14ac:dyDescent="0.45">
      <c r="A13" s="1017" t="s">
        <v>76</v>
      </c>
      <c r="B13" s="1018"/>
      <c r="C13" s="1018"/>
      <c r="D13" s="1018"/>
      <c r="E13" s="1019"/>
      <c r="F13" s="171">
        <f>SUM(F10:F12)</f>
        <v>365</v>
      </c>
      <c r="G13" s="198">
        <f>SUM(G10:G12)</f>
        <v>30823287.671232875</v>
      </c>
      <c r="H13" s="199">
        <v>0</v>
      </c>
      <c r="I13" s="200">
        <f>SUM(I10:I12)</f>
        <v>0</v>
      </c>
      <c r="J13" s="201">
        <f>SUM(J10:J12)</f>
        <v>30823287.671232875</v>
      </c>
      <c r="O13" s="1017" t="s">
        <v>76</v>
      </c>
      <c r="P13" s="1018"/>
      <c r="Q13" s="1018"/>
      <c r="R13" s="1018"/>
      <c r="S13" s="1019"/>
      <c r="T13" s="171">
        <f>SUM(T10:T12)</f>
        <v>365</v>
      </c>
      <c r="U13" s="198">
        <f>SUM(U10:U12)</f>
        <v>30823287.671232875</v>
      </c>
      <c r="V13" s="199">
        <v>0</v>
      </c>
      <c r="W13" s="200">
        <f>SUM(W10:W12)</f>
        <v>0</v>
      </c>
      <c r="X13" s="201">
        <f>SUM(X10:X12)</f>
        <v>30823287.671232875</v>
      </c>
    </row>
    <row r="14" spans="1:24" ht="21.75" hidden="1" customHeight="1" thickBot="1" x14ac:dyDescent="0.45">
      <c r="A14" s="1017">
        <v>1</v>
      </c>
      <c r="B14" s="1018">
        <v>500000000</v>
      </c>
      <c r="C14" s="1018">
        <v>5.5E-2</v>
      </c>
      <c r="D14" s="1018">
        <v>41640</v>
      </c>
      <c r="E14" s="1019">
        <v>41648</v>
      </c>
      <c r="F14" s="172">
        <v>9</v>
      </c>
      <c r="G14" s="203">
        <f>B14*C14*F14/365</f>
        <v>678082.19178082189</v>
      </c>
      <c r="H14" s="204"/>
      <c r="I14" s="205">
        <v>0</v>
      </c>
      <c r="J14" s="206">
        <f>G14-I14</f>
        <v>678082.19178082189</v>
      </c>
      <c r="O14" s="1017">
        <v>1</v>
      </c>
      <c r="P14" s="1018">
        <v>500000000</v>
      </c>
      <c r="Q14" s="1018">
        <v>5.5E-2</v>
      </c>
      <c r="R14" s="1018">
        <v>41640</v>
      </c>
      <c r="S14" s="1019">
        <v>41648</v>
      </c>
      <c r="T14" s="172">
        <v>9</v>
      </c>
      <c r="U14" s="203">
        <f>P14*Q14*T14/365</f>
        <v>678082.19178082189</v>
      </c>
      <c r="V14" s="204"/>
      <c r="W14" s="205">
        <v>0</v>
      </c>
      <c r="X14" s="206">
        <f>U14-W14</f>
        <v>678082.19178082189</v>
      </c>
    </row>
    <row r="15" spans="1:24" ht="21.75" hidden="1" customHeight="1" thickBot="1" x14ac:dyDescent="0.45">
      <c r="A15" s="1017">
        <v>2</v>
      </c>
      <c r="B15" s="1018">
        <v>500000000</v>
      </c>
      <c r="C15" s="1018">
        <v>4.8000000000000001E-2</v>
      </c>
      <c r="D15" s="1018">
        <v>41649</v>
      </c>
      <c r="E15" s="1019">
        <v>41778</v>
      </c>
      <c r="F15" s="177">
        <f>E15-D15</f>
        <v>129</v>
      </c>
      <c r="G15" s="208">
        <f>B15*C15*F15/365</f>
        <v>8482191.7808219176</v>
      </c>
      <c r="H15" s="209"/>
      <c r="I15" s="210">
        <v>0</v>
      </c>
      <c r="J15" s="211">
        <f>G15-I15</f>
        <v>8482191.7808219176</v>
      </c>
      <c r="O15" s="1017">
        <v>2</v>
      </c>
      <c r="P15" s="1018">
        <v>500000000</v>
      </c>
      <c r="Q15" s="1018">
        <v>4.8000000000000001E-2</v>
      </c>
      <c r="R15" s="1018">
        <v>41649</v>
      </c>
      <c r="S15" s="1019">
        <v>41778</v>
      </c>
      <c r="T15" s="177">
        <f>S15-R15</f>
        <v>129</v>
      </c>
      <c r="U15" s="208">
        <f>P15*Q15*T15/365</f>
        <v>8482191.7808219176</v>
      </c>
      <c r="V15" s="209"/>
      <c r="W15" s="210">
        <v>0</v>
      </c>
      <c r="X15" s="211">
        <f>U15-W15</f>
        <v>8482191.7808219176</v>
      </c>
    </row>
    <row r="16" spans="1:24" ht="21.75" hidden="1" customHeight="1" thickBot="1" x14ac:dyDescent="0.45">
      <c r="A16" s="1017">
        <v>3</v>
      </c>
      <c r="B16" s="1018">
        <v>500000000</v>
      </c>
      <c r="C16" s="1018">
        <v>5.8999999999999997E-2</v>
      </c>
      <c r="D16" s="1018">
        <f>E15</f>
        <v>41778</v>
      </c>
      <c r="E16" s="1019">
        <v>41915</v>
      </c>
      <c r="F16" s="177">
        <f>E16-D16</f>
        <v>137</v>
      </c>
      <c r="G16" s="208">
        <f>B16*C16*F16/365</f>
        <v>11072602.739726027</v>
      </c>
      <c r="H16" s="209"/>
      <c r="I16" s="210">
        <v>0</v>
      </c>
      <c r="J16" s="211">
        <f>G16-I16</f>
        <v>11072602.739726027</v>
      </c>
      <c r="O16" s="1017">
        <v>3</v>
      </c>
      <c r="P16" s="1018">
        <v>500000000</v>
      </c>
      <c r="Q16" s="1018">
        <v>5.8999999999999997E-2</v>
      </c>
      <c r="R16" s="1018">
        <f>S15</f>
        <v>41778</v>
      </c>
      <c r="S16" s="1019">
        <v>41915</v>
      </c>
      <c r="T16" s="177">
        <f>S16-R16</f>
        <v>137</v>
      </c>
      <c r="U16" s="208">
        <f>P16*Q16*T16/365</f>
        <v>11072602.739726027</v>
      </c>
      <c r="V16" s="209"/>
      <c r="W16" s="210">
        <v>0</v>
      </c>
      <c r="X16" s="211">
        <f>U16-W16</f>
        <v>11072602.739726027</v>
      </c>
    </row>
    <row r="17" spans="1:248" ht="21.75" hidden="1" customHeight="1" thickBot="1" x14ac:dyDescent="0.45">
      <c r="A17" s="1017">
        <v>4</v>
      </c>
      <c r="B17" s="1018">
        <v>500000000</v>
      </c>
      <c r="C17" s="1018">
        <v>6.9000000000000006E-2</v>
      </c>
      <c r="D17" s="1018">
        <f>E16</f>
        <v>41915</v>
      </c>
      <c r="E17" s="1019">
        <v>41994</v>
      </c>
      <c r="F17" s="177">
        <v>80</v>
      </c>
      <c r="G17" s="208">
        <f>B17*C17*F17/365</f>
        <v>7561643.8356164386</v>
      </c>
      <c r="H17" s="209"/>
      <c r="I17" s="210">
        <v>0</v>
      </c>
      <c r="J17" s="211">
        <f>G17-I17</f>
        <v>7561643.8356164386</v>
      </c>
      <c r="O17" s="1017">
        <v>4</v>
      </c>
      <c r="P17" s="1018">
        <v>500000000</v>
      </c>
      <c r="Q17" s="1018">
        <v>6.9000000000000006E-2</v>
      </c>
      <c r="R17" s="1018">
        <f>S16</f>
        <v>41915</v>
      </c>
      <c r="S17" s="1019">
        <v>41994</v>
      </c>
      <c r="T17" s="177">
        <v>80</v>
      </c>
      <c r="U17" s="208">
        <f>P17*Q17*T17/365</f>
        <v>7561643.8356164386</v>
      </c>
      <c r="V17" s="209"/>
      <c r="W17" s="210">
        <v>0</v>
      </c>
      <c r="X17" s="211">
        <f>U17-W17</f>
        <v>7561643.8356164386</v>
      </c>
    </row>
    <row r="18" spans="1:248" ht="21.75" hidden="1" customHeight="1" thickBot="1" x14ac:dyDescent="0.45">
      <c r="A18" s="1017">
        <v>5</v>
      </c>
      <c r="B18" s="1018">
        <v>500000000</v>
      </c>
      <c r="C18" s="1018">
        <v>0.08</v>
      </c>
      <c r="D18" s="1018">
        <v>41995</v>
      </c>
      <c r="E18" s="1019">
        <v>42004</v>
      </c>
      <c r="F18" s="181">
        <v>10</v>
      </c>
      <c r="G18" s="213">
        <f>B18*C18*F18/365</f>
        <v>1095890.4109589041</v>
      </c>
      <c r="H18" s="214"/>
      <c r="I18" s="215">
        <v>0</v>
      </c>
      <c r="J18" s="216">
        <f>G18-I18</f>
        <v>1095890.4109589041</v>
      </c>
      <c r="O18" s="1017">
        <v>5</v>
      </c>
      <c r="P18" s="1018">
        <v>500000000</v>
      </c>
      <c r="Q18" s="1018">
        <v>0.08</v>
      </c>
      <c r="R18" s="1018">
        <v>41995</v>
      </c>
      <c r="S18" s="1019">
        <v>42004</v>
      </c>
      <c r="T18" s="181">
        <v>10</v>
      </c>
      <c r="U18" s="213">
        <f>P18*Q18*T18/365</f>
        <v>1095890.4109589041</v>
      </c>
      <c r="V18" s="214"/>
      <c r="W18" s="215">
        <v>0</v>
      </c>
      <c r="X18" s="216">
        <f>U18-W18</f>
        <v>1095890.4109589041</v>
      </c>
    </row>
    <row r="19" spans="1:248" s="826" customFormat="1" ht="21.75" thickBot="1" x14ac:dyDescent="0.45">
      <c r="A19" s="1017" t="s">
        <v>77</v>
      </c>
      <c r="B19" s="1018"/>
      <c r="C19" s="1018"/>
      <c r="D19" s="1018"/>
      <c r="E19" s="1019"/>
      <c r="F19" s="171">
        <v>365</v>
      </c>
      <c r="G19" s="186">
        <f>SUM(G14:G18)</f>
        <v>28890410.958904114</v>
      </c>
      <c r="H19" s="199">
        <v>0</v>
      </c>
      <c r="I19" s="200">
        <f>SUM(I14:I18)</f>
        <v>0</v>
      </c>
      <c r="J19" s="201">
        <f>SUM(J14:J18)</f>
        <v>28890410.958904114</v>
      </c>
      <c r="O19" s="1017" t="s">
        <v>77</v>
      </c>
      <c r="P19" s="1018"/>
      <c r="Q19" s="1018"/>
      <c r="R19" s="1018"/>
      <c r="S19" s="1019"/>
      <c r="T19" s="171">
        <v>365</v>
      </c>
      <c r="U19" s="186">
        <f>SUM(U14:U18)</f>
        <v>28890410.958904114</v>
      </c>
      <c r="V19" s="199">
        <v>0</v>
      </c>
      <c r="W19" s="200">
        <f>SUM(W14:W18)</f>
        <v>0</v>
      </c>
      <c r="X19" s="201">
        <f>SUM(X14:X18)</f>
        <v>28890410.958904114</v>
      </c>
    </row>
    <row r="20" spans="1:248" ht="21.75" hidden="1" customHeight="1" thickBot="1" x14ac:dyDescent="0.45">
      <c r="A20" s="1017">
        <v>1</v>
      </c>
      <c r="B20" s="1018">
        <v>500000000</v>
      </c>
      <c r="C20" s="1018">
        <v>0.08</v>
      </c>
      <c r="D20" s="1018">
        <v>42005</v>
      </c>
      <c r="E20" s="1019">
        <v>42369</v>
      </c>
      <c r="F20" s="188">
        <f>365</f>
        <v>365</v>
      </c>
      <c r="G20" s="217">
        <f>B20*C20*F20/365</f>
        <v>40000000</v>
      </c>
      <c r="H20" s="218"/>
      <c r="I20" s="219">
        <v>0</v>
      </c>
      <c r="J20" s="220">
        <f t="shared" ref="J20:J28" si="0">G20-I20</f>
        <v>40000000</v>
      </c>
      <c r="O20" s="1017">
        <v>1</v>
      </c>
      <c r="P20" s="1018">
        <v>500000000</v>
      </c>
      <c r="Q20" s="1018">
        <v>0.08</v>
      </c>
      <c r="R20" s="1018">
        <v>42005</v>
      </c>
      <c r="S20" s="1019">
        <v>42369</v>
      </c>
      <c r="T20" s="188">
        <f>365</f>
        <v>365</v>
      </c>
      <c r="U20" s="217">
        <f>P20*Q20*T20/365</f>
        <v>40000000</v>
      </c>
      <c r="V20" s="218"/>
      <c r="W20" s="219">
        <v>0</v>
      </c>
      <c r="X20" s="220">
        <f t="shared" ref="X20:X28" si="1">U20-W20</f>
        <v>40000000</v>
      </c>
    </row>
    <row r="21" spans="1:248" s="826" customFormat="1" ht="20.25" customHeight="1" thickBot="1" x14ac:dyDescent="0.45">
      <c r="A21" s="1017" t="s">
        <v>78</v>
      </c>
      <c r="B21" s="1018"/>
      <c r="C21" s="1018"/>
      <c r="D21" s="1018"/>
      <c r="E21" s="1019"/>
      <c r="F21" s="171">
        <f>F20</f>
        <v>365</v>
      </c>
      <c r="G21" s="186">
        <f>G20</f>
        <v>40000000</v>
      </c>
      <c r="H21" s="199">
        <v>0</v>
      </c>
      <c r="I21" s="200">
        <f>SUM(I16:I20)</f>
        <v>0</v>
      </c>
      <c r="J21" s="201">
        <f t="shared" si="0"/>
        <v>40000000</v>
      </c>
      <c r="O21" s="1017" t="s">
        <v>78</v>
      </c>
      <c r="P21" s="1018"/>
      <c r="Q21" s="1018"/>
      <c r="R21" s="1018"/>
      <c r="S21" s="1019"/>
      <c r="T21" s="171">
        <f>T20</f>
        <v>365</v>
      </c>
      <c r="U21" s="186">
        <f>U20</f>
        <v>40000000</v>
      </c>
      <c r="V21" s="199">
        <v>0</v>
      </c>
      <c r="W21" s="200">
        <f>SUM(W16:W20)</f>
        <v>0</v>
      </c>
      <c r="X21" s="201">
        <f t="shared" si="1"/>
        <v>40000000</v>
      </c>
    </row>
    <row r="22" spans="1:248" s="826" customFormat="1" ht="21.75" hidden="1" customHeight="1" thickBot="1" x14ac:dyDescent="0.45">
      <c r="A22" s="1017">
        <v>1</v>
      </c>
      <c r="B22" s="1018">
        <v>500000000</v>
      </c>
      <c r="C22" s="1018">
        <v>0.08</v>
      </c>
      <c r="D22" s="1018">
        <v>42370</v>
      </c>
      <c r="E22" s="1019">
        <v>42735</v>
      </c>
      <c r="F22" s="189">
        <v>366</v>
      </c>
      <c r="G22" s="221">
        <f>B22*C22*F22/366</f>
        <v>40000000</v>
      </c>
      <c r="H22" s="218"/>
      <c r="I22" s="210">
        <v>0</v>
      </c>
      <c r="J22" s="206">
        <f t="shared" si="0"/>
        <v>40000000</v>
      </c>
      <c r="O22" s="1017">
        <v>1</v>
      </c>
      <c r="P22" s="1018">
        <v>500000000</v>
      </c>
      <c r="Q22" s="1018">
        <v>0.08</v>
      </c>
      <c r="R22" s="1018">
        <v>42370</v>
      </c>
      <c r="S22" s="1019">
        <v>42735</v>
      </c>
      <c r="T22" s="189">
        <v>366</v>
      </c>
      <c r="U22" s="221">
        <f>P22*Q22*T22/366</f>
        <v>40000000</v>
      </c>
      <c r="V22" s="218"/>
      <c r="W22" s="210">
        <v>0</v>
      </c>
      <c r="X22" s="206">
        <f t="shared" si="1"/>
        <v>40000000</v>
      </c>
      <c r="IN22" s="826">
        <f>SUM(A22:IM22)</f>
        <v>1160170944.1599998</v>
      </c>
    </row>
    <row r="23" spans="1:248" s="826" customFormat="1" ht="21.75" thickBot="1" x14ac:dyDescent="0.45">
      <c r="A23" s="1023" t="s">
        <v>79</v>
      </c>
      <c r="B23" s="1024"/>
      <c r="C23" s="1024"/>
      <c r="D23" s="1024"/>
      <c r="E23" s="1025"/>
      <c r="F23" s="700">
        <f>SUM(F22:F22)</f>
        <v>366</v>
      </c>
      <c r="G23" s="701">
        <f>SUM(G22:G22)</f>
        <v>40000000</v>
      </c>
      <c r="H23" s="199">
        <v>0</v>
      </c>
      <c r="I23" s="702">
        <f>SUM(I19:I22)</f>
        <v>0</v>
      </c>
      <c r="J23" s="703">
        <f t="shared" si="0"/>
        <v>40000000</v>
      </c>
      <c r="O23" s="1023" t="s">
        <v>79</v>
      </c>
      <c r="P23" s="1024"/>
      <c r="Q23" s="1024"/>
      <c r="R23" s="1024"/>
      <c r="S23" s="1025"/>
      <c r="T23" s="700">
        <f>SUM(T22:T22)</f>
        <v>366</v>
      </c>
      <c r="U23" s="701">
        <f>SUM(U22:U22)</f>
        <v>40000000</v>
      </c>
      <c r="V23" s="199">
        <v>0</v>
      </c>
      <c r="W23" s="702">
        <f>SUM(W19:W22)</f>
        <v>0</v>
      </c>
      <c r="X23" s="703">
        <f t="shared" si="1"/>
        <v>40000000</v>
      </c>
    </row>
    <row r="24" spans="1:248" ht="21.75" hidden="1" customHeight="1" thickBot="1" x14ac:dyDescent="0.45">
      <c r="A24" s="1014">
        <v>1</v>
      </c>
      <c r="B24" s="1015">
        <v>500000000</v>
      </c>
      <c r="C24" s="1015">
        <v>0.08</v>
      </c>
      <c r="D24" s="1015">
        <v>42736</v>
      </c>
      <c r="E24" s="1016">
        <v>43100</v>
      </c>
      <c r="F24" s="695">
        <v>365</v>
      </c>
      <c r="G24" s="696">
        <f>B24*C24*F24/365</f>
        <v>40000000</v>
      </c>
      <c r="H24" s="697"/>
      <c r="I24" s="698">
        <v>7955243</v>
      </c>
      <c r="J24" s="699">
        <f t="shared" si="0"/>
        <v>32044757</v>
      </c>
      <c r="O24" s="1014">
        <v>1</v>
      </c>
      <c r="P24" s="1015">
        <v>500000000</v>
      </c>
      <c r="Q24" s="1015">
        <v>0.08</v>
      </c>
      <c r="R24" s="1015">
        <v>42736</v>
      </c>
      <c r="S24" s="1016">
        <v>43100</v>
      </c>
      <c r="T24" s="695">
        <v>365</v>
      </c>
      <c r="U24" s="696">
        <f>P24*Q24*T24/365</f>
        <v>40000000</v>
      </c>
      <c r="V24" s="697"/>
      <c r="W24" s="698">
        <v>7955243</v>
      </c>
      <c r="X24" s="699">
        <f t="shared" si="1"/>
        <v>32044757</v>
      </c>
    </row>
    <row r="25" spans="1:248" ht="21.75" customHeight="1" thickBot="1" x14ac:dyDescent="0.45">
      <c r="A25" s="1014" t="s">
        <v>80</v>
      </c>
      <c r="B25" s="1015"/>
      <c r="C25" s="1015"/>
      <c r="D25" s="1015"/>
      <c r="E25" s="1016"/>
      <c r="F25" s="694">
        <f>SUM(F24:F24)</f>
        <v>365</v>
      </c>
      <c r="G25" s="827">
        <f>SUM(G24:G24)</f>
        <v>40000000</v>
      </c>
      <c r="H25" s="199">
        <v>0</v>
      </c>
      <c r="I25" s="828">
        <f>I24</f>
        <v>7955243</v>
      </c>
      <c r="J25" s="829">
        <f t="shared" si="0"/>
        <v>32044757</v>
      </c>
      <c r="O25" s="1014" t="s">
        <v>80</v>
      </c>
      <c r="P25" s="1015"/>
      <c r="Q25" s="1015"/>
      <c r="R25" s="1015"/>
      <c r="S25" s="1016"/>
      <c r="T25" s="694">
        <f>SUM(T24:T24)</f>
        <v>365</v>
      </c>
      <c r="U25" s="827">
        <f>SUM(U24:U24)</f>
        <v>40000000</v>
      </c>
      <c r="V25" s="199">
        <v>0</v>
      </c>
      <c r="W25" s="828">
        <f>W24</f>
        <v>7955243</v>
      </c>
      <c r="X25" s="829">
        <f t="shared" si="1"/>
        <v>32044757</v>
      </c>
    </row>
    <row r="26" spans="1:248" ht="21.75" hidden="1" customHeight="1" thickBot="1" x14ac:dyDescent="0.45">
      <c r="A26" s="1017">
        <v>1</v>
      </c>
      <c r="B26" s="1018">
        <v>500000000</v>
      </c>
      <c r="C26" s="1018">
        <v>0.08</v>
      </c>
      <c r="D26" s="1018">
        <v>43101</v>
      </c>
      <c r="E26" s="1019">
        <v>43465</v>
      </c>
      <c r="F26" s="190">
        <v>365</v>
      </c>
      <c r="G26" s="203">
        <f>B26*C26*F26/365</f>
        <v>40000000</v>
      </c>
      <c r="H26" s="204"/>
      <c r="I26" s="222">
        <v>1824890.22</v>
      </c>
      <c r="J26" s="206">
        <f t="shared" si="0"/>
        <v>38175109.780000001</v>
      </c>
      <c r="O26" s="1017">
        <v>1</v>
      </c>
      <c r="P26" s="1018">
        <v>500000000</v>
      </c>
      <c r="Q26" s="1018">
        <v>0.08</v>
      </c>
      <c r="R26" s="1018">
        <v>43101</v>
      </c>
      <c r="S26" s="1019">
        <v>43465</v>
      </c>
      <c r="T26" s="190">
        <v>365</v>
      </c>
      <c r="U26" s="203">
        <f>P26*Q26*T26/365</f>
        <v>40000000</v>
      </c>
      <c r="V26" s="204"/>
      <c r="W26" s="222">
        <v>1824890.22</v>
      </c>
      <c r="X26" s="206">
        <f t="shared" si="1"/>
        <v>38175109.780000001</v>
      </c>
    </row>
    <row r="27" spans="1:248" ht="21.75" thickBot="1" x14ac:dyDescent="0.45">
      <c r="A27" s="1014" t="s">
        <v>81</v>
      </c>
      <c r="B27" s="1015"/>
      <c r="C27" s="1015"/>
      <c r="D27" s="1015"/>
      <c r="E27" s="1016"/>
      <c r="F27" s="694">
        <f>SUM(F26:F26)</f>
        <v>365</v>
      </c>
      <c r="G27" s="830">
        <f>SUM(G26:G26)</f>
        <v>40000000</v>
      </c>
      <c r="H27" s="831"/>
      <c r="I27" s="832">
        <f>I26</f>
        <v>1824890.22</v>
      </c>
      <c r="J27" s="833">
        <f t="shared" si="0"/>
        <v>38175109.780000001</v>
      </c>
      <c r="O27" s="1014" t="s">
        <v>81</v>
      </c>
      <c r="P27" s="1015"/>
      <c r="Q27" s="1015"/>
      <c r="R27" s="1015"/>
      <c r="S27" s="1016"/>
      <c r="T27" s="694">
        <f>SUM(T26:T26)</f>
        <v>365</v>
      </c>
      <c r="U27" s="830">
        <f>SUM(U26:U26)</f>
        <v>40000000</v>
      </c>
      <c r="V27" s="831"/>
      <c r="W27" s="832">
        <f>W26</f>
        <v>1824890.22</v>
      </c>
      <c r="X27" s="833">
        <f t="shared" si="1"/>
        <v>38175109.780000001</v>
      </c>
    </row>
    <row r="28" spans="1:248" ht="21.75" thickBot="1" x14ac:dyDescent="0.45">
      <c r="A28" s="700">
        <v>1</v>
      </c>
      <c r="B28" s="855">
        <v>500000000</v>
      </c>
      <c r="C28" s="856">
        <v>0.08</v>
      </c>
      <c r="D28" s="857">
        <v>43466</v>
      </c>
      <c r="E28" s="858">
        <v>43733</v>
      </c>
      <c r="F28" s="859">
        <v>268</v>
      </c>
      <c r="G28" s="860">
        <f>(B28*C28*268)/365</f>
        <v>29369863.01369863</v>
      </c>
      <c r="H28" s="860"/>
      <c r="I28" s="861">
        <f>600000+450000</f>
        <v>1050000</v>
      </c>
      <c r="J28" s="861">
        <f t="shared" si="0"/>
        <v>28319863.01369863</v>
      </c>
      <c r="O28" s="700">
        <v>1</v>
      </c>
      <c r="P28" s="855">
        <v>500000000</v>
      </c>
      <c r="Q28" s="856">
        <v>0.08</v>
      </c>
      <c r="R28" s="857">
        <v>43466</v>
      </c>
      <c r="S28" s="858">
        <v>43733</v>
      </c>
      <c r="T28" s="859">
        <v>268</v>
      </c>
      <c r="U28" s="860">
        <f>(P28*Q28*268)/365</f>
        <v>29369863.01369863</v>
      </c>
      <c r="V28" s="860"/>
      <c r="W28" s="861">
        <f>600000+450000</f>
        <v>1050000</v>
      </c>
      <c r="X28" s="861">
        <f t="shared" si="1"/>
        <v>28319863.01369863</v>
      </c>
    </row>
    <row r="29" spans="1:248" ht="21.75" thickBot="1" x14ac:dyDescent="0.45">
      <c r="A29" s="862">
        <v>2</v>
      </c>
      <c r="B29" s="855">
        <f>B28-H29</f>
        <v>496429496</v>
      </c>
      <c r="C29" s="856">
        <v>0.08</v>
      </c>
      <c r="D29" s="863">
        <v>43734</v>
      </c>
      <c r="E29" s="858">
        <v>43829</v>
      </c>
      <c r="F29" s="859">
        <v>96</v>
      </c>
      <c r="G29" s="860">
        <f>B29*C29*96/365</f>
        <v>10445420.628164383</v>
      </c>
      <c r="H29" s="860">
        <v>3570504</v>
      </c>
      <c r="I29" s="861"/>
      <c r="J29" s="861">
        <f>G29</f>
        <v>10445420.628164383</v>
      </c>
      <c r="O29" s="862">
        <v>2</v>
      </c>
      <c r="P29" s="855">
        <f>P28-V29</f>
        <v>496429496</v>
      </c>
      <c r="Q29" s="856">
        <v>0.08</v>
      </c>
      <c r="R29" s="863">
        <v>43734</v>
      </c>
      <c r="S29" s="858">
        <v>43829</v>
      </c>
      <c r="T29" s="859">
        <v>96</v>
      </c>
      <c r="U29" s="860">
        <f>P29*Q29*96/365</f>
        <v>10445420.628164383</v>
      </c>
      <c r="V29" s="860">
        <v>3570504</v>
      </c>
      <c r="W29" s="861"/>
      <c r="X29" s="861">
        <f>U29</f>
        <v>10445420.628164383</v>
      </c>
    </row>
    <row r="30" spans="1:248" ht="21.75" thickBot="1" x14ac:dyDescent="0.45">
      <c r="A30" s="700">
        <v>3</v>
      </c>
      <c r="B30" s="855">
        <f>B29-H30</f>
        <v>495985496</v>
      </c>
      <c r="C30" s="856">
        <v>0.08</v>
      </c>
      <c r="D30" s="857">
        <v>43830</v>
      </c>
      <c r="E30" s="858">
        <v>43830</v>
      </c>
      <c r="F30" s="859">
        <v>1</v>
      </c>
      <c r="G30" s="860">
        <f>B30*C30*1/365</f>
        <v>108709.14980821918</v>
      </c>
      <c r="H30" s="860">
        <v>444000</v>
      </c>
      <c r="I30" s="861">
        <v>63000</v>
      </c>
      <c r="J30" s="861">
        <f>G30-I30</f>
        <v>45709.149808219183</v>
      </c>
      <c r="O30" s="700">
        <v>3</v>
      </c>
      <c r="P30" s="855">
        <f>P29-V30</f>
        <v>495985496</v>
      </c>
      <c r="Q30" s="856">
        <v>0.08</v>
      </c>
      <c r="R30" s="857">
        <v>43830</v>
      </c>
      <c r="S30" s="858">
        <v>43830</v>
      </c>
      <c r="T30" s="859">
        <v>1</v>
      </c>
      <c r="U30" s="860">
        <f>P30*Q30*1/365</f>
        <v>108709.14980821918</v>
      </c>
      <c r="V30" s="860">
        <v>444000</v>
      </c>
      <c r="W30" s="861">
        <v>63000</v>
      </c>
      <c r="X30" s="861">
        <f>U30-W30</f>
        <v>45709.149808219183</v>
      </c>
    </row>
    <row r="31" spans="1:248" ht="21.75" thickBot="1" x14ac:dyDescent="0.45">
      <c r="A31" s="1020" t="s">
        <v>69</v>
      </c>
      <c r="B31" s="1021"/>
      <c r="C31" s="1021"/>
      <c r="D31" s="1021"/>
      <c r="E31" s="1022"/>
      <c r="F31" s="112">
        <v>365</v>
      </c>
      <c r="G31" s="113">
        <f>SUM(G28:G30)</f>
        <v>39923992.791671231</v>
      </c>
      <c r="H31" s="114">
        <f>SUM(H29:H30)</f>
        <v>4014504</v>
      </c>
      <c r="I31" s="113">
        <f>SUM(I28:I30)</f>
        <v>1113000</v>
      </c>
      <c r="J31" s="114">
        <f>J28+J29+J30</f>
        <v>38810992.791671231</v>
      </c>
      <c r="O31" s="1020" t="s">
        <v>69</v>
      </c>
      <c r="P31" s="1021"/>
      <c r="Q31" s="1021"/>
      <c r="R31" s="1021"/>
      <c r="S31" s="1022"/>
      <c r="T31" s="112">
        <v>365</v>
      </c>
      <c r="U31" s="113">
        <f>SUM(U28:U30)</f>
        <v>39923992.791671231</v>
      </c>
      <c r="V31" s="114">
        <f>SUM(V29:V30)</f>
        <v>4014504</v>
      </c>
      <c r="W31" s="113">
        <f>SUM(W28:W30)</f>
        <v>1113000</v>
      </c>
      <c r="X31" s="114">
        <f>X28+X29+X30</f>
        <v>38810992.791671231</v>
      </c>
    </row>
    <row r="32" spans="1:248" ht="21.75" thickBot="1" x14ac:dyDescent="0.45">
      <c r="A32" s="53">
        <v>1</v>
      </c>
      <c r="B32" s="839">
        <f>B30</f>
        <v>495985496</v>
      </c>
      <c r="C32" s="58">
        <v>0.08</v>
      </c>
      <c r="D32" s="59">
        <v>43831</v>
      </c>
      <c r="E32" s="60">
        <v>43878</v>
      </c>
      <c r="F32" s="65">
        <f t="shared" ref="F32:F47" si="2">+E32-D32+1</f>
        <v>48</v>
      </c>
      <c r="G32" s="61">
        <f>(B32*C32*F32)/366</f>
        <v>5203782.2531147534</v>
      </c>
      <c r="H32" s="61">
        <v>0</v>
      </c>
      <c r="I32" s="62"/>
      <c r="J32" s="63">
        <f t="shared" ref="J32:J54" si="3">G32-I32</f>
        <v>5203782.2531147534</v>
      </c>
      <c r="O32" s="53">
        <v>1</v>
      </c>
      <c r="P32" s="839">
        <f>P30</f>
        <v>495985496</v>
      </c>
      <c r="Q32" s="58">
        <v>0.08</v>
      </c>
      <c r="R32" s="59">
        <v>43831</v>
      </c>
      <c r="S32" s="60">
        <v>43878</v>
      </c>
      <c r="T32" s="65">
        <f t="shared" ref="T32:T42" si="4">+S32-R32+1</f>
        <v>48</v>
      </c>
      <c r="U32" s="61">
        <v>0</v>
      </c>
      <c r="V32" s="61">
        <v>0</v>
      </c>
      <c r="W32" s="62"/>
      <c r="X32" s="63">
        <f t="shared" ref="X32:X50" si="5">U32-W32</f>
        <v>0</v>
      </c>
    </row>
    <row r="33" spans="1:24" ht="21.75" thickBot="1" x14ac:dyDescent="0.45">
      <c r="A33" s="840">
        <v>2</v>
      </c>
      <c r="B33" s="841">
        <f>B32-H33</f>
        <v>495890615.13999999</v>
      </c>
      <c r="C33" s="842">
        <v>0.08</v>
      </c>
      <c r="D33" s="843">
        <v>43879</v>
      </c>
      <c r="E33" s="844">
        <v>43895</v>
      </c>
      <c r="F33" s="845">
        <f t="shared" si="2"/>
        <v>17</v>
      </c>
      <c r="G33" s="846">
        <f>B33*C33*F33/366</f>
        <v>1842653.6518863388</v>
      </c>
      <c r="H33" s="846">
        <v>94880.86</v>
      </c>
      <c r="I33" s="847"/>
      <c r="J33" s="848">
        <f t="shared" si="3"/>
        <v>1842653.6518863388</v>
      </c>
      <c r="O33" s="840">
        <v>2</v>
      </c>
      <c r="P33" s="841">
        <f>P32-V33</f>
        <v>495890615.13999999</v>
      </c>
      <c r="Q33" s="842">
        <v>0.08</v>
      </c>
      <c r="R33" s="843">
        <v>43879</v>
      </c>
      <c r="S33" s="844">
        <v>43895</v>
      </c>
      <c r="T33" s="845">
        <f t="shared" si="4"/>
        <v>17</v>
      </c>
      <c r="U33" s="846">
        <v>0</v>
      </c>
      <c r="V33" s="846">
        <v>94880.86</v>
      </c>
      <c r="W33" s="847"/>
      <c r="X33" s="848">
        <f t="shared" si="5"/>
        <v>0</v>
      </c>
    </row>
    <row r="34" spans="1:24" ht="21.75" thickBot="1" x14ac:dyDescent="0.45">
      <c r="A34" s="849">
        <v>3</v>
      </c>
      <c r="B34" s="850">
        <f>B33-H34</f>
        <v>495840615.13999999</v>
      </c>
      <c r="C34" s="842">
        <v>0.08</v>
      </c>
      <c r="D34" s="851">
        <v>43896</v>
      </c>
      <c r="E34" s="852">
        <v>43906</v>
      </c>
      <c r="F34" s="845">
        <f t="shared" si="2"/>
        <v>11</v>
      </c>
      <c r="G34" s="846">
        <f>B34*C34*F34/366</f>
        <v>1192185.0855825136</v>
      </c>
      <c r="H34" s="846">
        <v>50000</v>
      </c>
      <c r="I34" s="847"/>
      <c r="J34" s="848">
        <f t="shared" si="3"/>
        <v>1192185.0855825136</v>
      </c>
      <c r="O34" s="849">
        <v>3</v>
      </c>
      <c r="P34" s="850">
        <f>P33-V34</f>
        <v>495840615.13999999</v>
      </c>
      <c r="Q34" s="842">
        <v>0.08</v>
      </c>
      <c r="R34" s="851">
        <v>43896</v>
      </c>
      <c r="S34" s="852">
        <v>43906</v>
      </c>
      <c r="T34" s="845">
        <f t="shared" si="4"/>
        <v>11</v>
      </c>
      <c r="U34" s="846">
        <v>0</v>
      </c>
      <c r="V34" s="846">
        <v>50000</v>
      </c>
      <c r="W34" s="847"/>
      <c r="X34" s="848">
        <f t="shared" si="5"/>
        <v>0</v>
      </c>
    </row>
    <row r="35" spans="1:24" ht="21.75" thickBot="1" x14ac:dyDescent="0.45">
      <c r="A35" s="840">
        <v>4</v>
      </c>
      <c r="B35" s="841">
        <f>B34-H35</f>
        <v>495315615.13999999</v>
      </c>
      <c r="C35" s="842">
        <v>0.08</v>
      </c>
      <c r="D35" s="843">
        <v>43907</v>
      </c>
      <c r="E35" s="844">
        <v>43909</v>
      </c>
      <c r="F35" s="845">
        <f t="shared" si="2"/>
        <v>3</v>
      </c>
      <c r="G35" s="846">
        <f t="shared" ref="G35:G47" si="6">(B35*C35*F35)/366</f>
        <v>324797.12468196719</v>
      </c>
      <c r="H35" s="846">
        <v>525000</v>
      </c>
      <c r="I35" s="847"/>
      <c r="J35" s="848">
        <f t="shared" si="3"/>
        <v>324797.12468196719</v>
      </c>
      <c r="O35" s="840">
        <v>4</v>
      </c>
      <c r="P35" s="841">
        <f>P34-V35</f>
        <v>495315615.13999999</v>
      </c>
      <c r="Q35" s="842">
        <v>0.08</v>
      </c>
      <c r="R35" s="843">
        <v>43907</v>
      </c>
      <c r="S35" s="844">
        <v>43909</v>
      </c>
      <c r="T35" s="845">
        <f t="shared" si="4"/>
        <v>3</v>
      </c>
      <c r="U35" s="846">
        <v>0</v>
      </c>
      <c r="V35" s="846">
        <v>525000</v>
      </c>
      <c r="W35" s="847"/>
      <c r="X35" s="848">
        <f t="shared" si="5"/>
        <v>0</v>
      </c>
    </row>
    <row r="36" spans="1:24" ht="21.75" thickBot="1" x14ac:dyDescent="0.45">
      <c r="A36" s="840">
        <v>5</v>
      </c>
      <c r="B36" s="841">
        <f>B35-H36</f>
        <v>494985615.13999999</v>
      </c>
      <c r="C36" s="842">
        <v>0.08</v>
      </c>
      <c r="D36" s="843">
        <v>43910</v>
      </c>
      <c r="E36" s="844">
        <v>43917</v>
      </c>
      <c r="F36" s="845">
        <f t="shared" si="2"/>
        <v>8</v>
      </c>
      <c r="G36" s="846">
        <f t="shared" si="6"/>
        <v>865548.61663825135</v>
      </c>
      <c r="H36" s="846">
        <v>330000</v>
      </c>
      <c r="I36" s="847"/>
      <c r="J36" s="848">
        <f t="shared" si="3"/>
        <v>865548.61663825135</v>
      </c>
      <c r="O36" s="840">
        <v>5</v>
      </c>
      <c r="P36" s="841">
        <f>P35-V36</f>
        <v>494985615.13999999</v>
      </c>
      <c r="Q36" s="842">
        <v>0.08</v>
      </c>
      <c r="R36" s="843">
        <v>43910</v>
      </c>
      <c r="S36" s="844">
        <v>43917</v>
      </c>
      <c r="T36" s="845">
        <f t="shared" si="4"/>
        <v>8</v>
      </c>
      <c r="U36" s="846">
        <v>0</v>
      </c>
      <c r="V36" s="846">
        <v>330000</v>
      </c>
      <c r="W36" s="847"/>
      <c r="X36" s="848">
        <f t="shared" si="5"/>
        <v>0</v>
      </c>
    </row>
    <row r="37" spans="1:24" ht="21.75" thickBot="1" x14ac:dyDescent="0.45">
      <c r="A37" s="840">
        <v>6</v>
      </c>
      <c r="B37" s="841">
        <f>B36-H37</f>
        <v>494785615.13999999</v>
      </c>
      <c r="C37" s="853">
        <v>0.08</v>
      </c>
      <c r="D37" s="843">
        <v>43918</v>
      </c>
      <c r="E37" s="844">
        <v>43921</v>
      </c>
      <c r="F37" s="845">
        <f t="shared" si="2"/>
        <v>4</v>
      </c>
      <c r="G37" s="846">
        <f t="shared" si="6"/>
        <v>432599.4449311475</v>
      </c>
      <c r="H37" s="854">
        <v>200000</v>
      </c>
      <c r="I37" s="847"/>
      <c r="J37" s="848">
        <f t="shared" si="3"/>
        <v>432599.4449311475</v>
      </c>
      <c r="O37" s="840">
        <v>6</v>
      </c>
      <c r="P37" s="841">
        <f>P36-V37</f>
        <v>494785615.13999999</v>
      </c>
      <c r="Q37" s="853">
        <v>0.08</v>
      </c>
      <c r="R37" s="843">
        <v>43918</v>
      </c>
      <c r="S37" s="844">
        <v>43921</v>
      </c>
      <c r="T37" s="845">
        <f t="shared" si="4"/>
        <v>4</v>
      </c>
      <c r="U37" s="846">
        <v>0</v>
      </c>
      <c r="V37" s="854">
        <v>200000</v>
      </c>
      <c r="W37" s="847"/>
      <c r="X37" s="848">
        <f t="shared" si="5"/>
        <v>0</v>
      </c>
    </row>
    <row r="38" spans="1:24" ht="21.75" thickBot="1" x14ac:dyDescent="0.45">
      <c r="A38" s="840">
        <v>7</v>
      </c>
      <c r="B38" s="841">
        <f t="shared" ref="B38:B53" si="7">B37-H38</f>
        <v>494407615.13999999</v>
      </c>
      <c r="C38" s="853">
        <v>0.08</v>
      </c>
      <c r="D38" s="844">
        <v>43922</v>
      </c>
      <c r="E38" s="843">
        <v>43935</v>
      </c>
      <c r="F38" s="845">
        <f t="shared" si="2"/>
        <v>14</v>
      </c>
      <c r="G38" s="846">
        <f t="shared" si="6"/>
        <v>1512941.3359475411</v>
      </c>
      <c r="H38" s="854">
        <v>378000</v>
      </c>
      <c r="I38" s="847"/>
      <c r="J38" s="848">
        <f t="shared" si="3"/>
        <v>1512941.3359475411</v>
      </c>
      <c r="O38" s="840">
        <v>7</v>
      </c>
      <c r="P38" s="841">
        <f t="shared" ref="P38:P48" si="8">P37-V38</f>
        <v>494407615.13999999</v>
      </c>
      <c r="Q38" s="853">
        <v>0.08</v>
      </c>
      <c r="R38" s="844">
        <v>43922</v>
      </c>
      <c r="S38" s="843">
        <v>43935</v>
      </c>
      <c r="T38" s="845">
        <f t="shared" si="4"/>
        <v>14</v>
      </c>
      <c r="U38" s="846">
        <v>0</v>
      </c>
      <c r="V38" s="854">
        <v>378000</v>
      </c>
      <c r="W38" s="847"/>
      <c r="X38" s="848">
        <f t="shared" si="5"/>
        <v>0</v>
      </c>
    </row>
    <row r="39" spans="1:24" ht="21.75" thickBot="1" x14ac:dyDescent="0.45">
      <c r="A39" s="840">
        <v>8</v>
      </c>
      <c r="B39" s="841">
        <f t="shared" si="7"/>
        <v>494312615.13999999</v>
      </c>
      <c r="C39" s="853">
        <v>0.08</v>
      </c>
      <c r="D39" s="844">
        <v>43936</v>
      </c>
      <c r="E39" s="843">
        <v>43940</v>
      </c>
      <c r="F39" s="845">
        <f t="shared" si="2"/>
        <v>5</v>
      </c>
      <c r="G39" s="846">
        <f t="shared" si="6"/>
        <v>540232.366273224</v>
      </c>
      <c r="H39" s="854">
        <v>95000</v>
      </c>
      <c r="I39" s="847"/>
      <c r="J39" s="848">
        <f t="shared" si="3"/>
        <v>540232.366273224</v>
      </c>
      <c r="O39" s="840">
        <v>8</v>
      </c>
      <c r="P39" s="841">
        <f t="shared" si="8"/>
        <v>494312615.13999999</v>
      </c>
      <c r="Q39" s="853">
        <v>0.08</v>
      </c>
      <c r="R39" s="844">
        <v>43936</v>
      </c>
      <c r="S39" s="843">
        <v>43940</v>
      </c>
      <c r="T39" s="845">
        <f t="shared" si="4"/>
        <v>5</v>
      </c>
      <c r="U39" s="846">
        <v>0</v>
      </c>
      <c r="V39" s="854">
        <v>95000</v>
      </c>
      <c r="W39" s="847"/>
      <c r="X39" s="848">
        <f t="shared" si="5"/>
        <v>0</v>
      </c>
    </row>
    <row r="40" spans="1:24" ht="21.75" thickBot="1" x14ac:dyDescent="0.45">
      <c r="A40" s="840">
        <v>9</v>
      </c>
      <c r="B40" s="841">
        <f t="shared" si="7"/>
        <v>494082615.13999999</v>
      </c>
      <c r="C40" s="853">
        <v>0.08</v>
      </c>
      <c r="D40" s="844">
        <v>43941</v>
      </c>
      <c r="E40" s="844">
        <v>43941</v>
      </c>
      <c r="F40" s="845">
        <f t="shared" si="2"/>
        <v>1</v>
      </c>
      <c r="G40" s="846">
        <f t="shared" si="6"/>
        <v>107996.20003060109</v>
      </c>
      <c r="H40" s="854">
        <v>230000</v>
      </c>
      <c r="I40" s="847"/>
      <c r="J40" s="848">
        <f t="shared" si="3"/>
        <v>107996.20003060109</v>
      </c>
      <c r="O40" s="840">
        <v>9</v>
      </c>
      <c r="P40" s="841">
        <f t="shared" si="8"/>
        <v>494082615.13999999</v>
      </c>
      <c r="Q40" s="853">
        <v>0.08</v>
      </c>
      <c r="R40" s="844">
        <v>43941</v>
      </c>
      <c r="S40" s="844">
        <v>43941</v>
      </c>
      <c r="T40" s="845">
        <f t="shared" si="4"/>
        <v>1</v>
      </c>
      <c r="U40" s="846">
        <v>0</v>
      </c>
      <c r="V40" s="854">
        <v>230000</v>
      </c>
      <c r="W40" s="847"/>
      <c r="X40" s="848">
        <f t="shared" si="5"/>
        <v>0</v>
      </c>
    </row>
    <row r="41" spans="1:24" ht="21.75" thickBot="1" x14ac:dyDescent="0.45">
      <c r="A41" s="840">
        <v>10</v>
      </c>
      <c r="B41" s="841">
        <f t="shared" si="7"/>
        <v>492982615.13999999</v>
      </c>
      <c r="C41" s="853">
        <v>0.08</v>
      </c>
      <c r="D41" s="844">
        <v>43942</v>
      </c>
      <c r="E41" s="843">
        <v>43942</v>
      </c>
      <c r="F41" s="845">
        <f t="shared" si="2"/>
        <v>1</v>
      </c>
      <c r="G41" s="846">
        <f t="shared" si="6"/>
        <v>107755.76287213115</v>
      </c>
      <c r="H41" s="854">
        <v>1100000</v>
      </c>
      <c r="I41" s="847"/>
      <c r="J41" s="848">
        <f t="shared" si="3"/>
        <v>107755.76287213115</v>
      </c>
      <c r="O41" s="840">
        <v>10</v>
      </c>
      <c r="P41" s="841">
        <f t="shared" si="8"/>
        <v>492982615.13999999</v>
      </c>
      <c r="Q41" s="853">
        <v>0.08</v>
      </c>
      <c r="R41" s="844">
        <v>43942</v>
      </c>
      <c r="S41" s="843">
        <v>43942</v>
      </c>
      <c r="T41" s="845">
        <f t="shared" si="4"/>
        <v>1</v>
      </c>
      <c r="U41" s="846">
        <v>0</v>
      </c>
      <c r="V41" s="854">
        <v>1100000</v>
      </c>
      <c r="W41" s="847"/>
      <c r="X41" s="848">
        <f t="shared" si="5"/>
        <v>0</v>
      </c>
    </row>
    <row r="42" spans="1:24" ht="21.75" thickBot="1" x14ac:dyDescent="0.45">
      <c r="A42" s="840">
        <v>11</v>
      </c>
      <c r="B42" s="841">
        <f t="shared" si="7"/>
        <v>492877615.13999999</v>
      </c>
      <c r="C42" s="853">
        <v>0.08</v>
      </c>
      <c r="D42" s="844">
        <v>43943</v>
      </c>
      <c r="E42" s="843">
        <v>43948</v>
      </c>
      <c r="F42" s="845">
        <f t="shared" si="2"/>
        <v>6</v>
      </c>
      <c r="G42" s="846">
        <f t="shared" si="6"/>
        <v>646396.87231475406</v>
      </c>
      <c r="H42" s="854">
        <v>105000</v>
      </c>
      <c r="I42" s="847"/>
      <c r="J42" s="848">
        <f t="shared" si="3"/>
        <v>646396.87231475406</v>
      </c>
      <c r="O42" s="840">
        <v>11</v>
      </c>
      <c r="P42" s="841">
        <f t="shared" si="8"/>
        <v>492877615.13999999</v>
      </c>
      <c r="Q42" s="853">
        <v>0.08</v>
      </c>
      <c r="R42" s="844">
        <v>43943</v>
      </c>
      <c r="S42" s="843">
        <v>43948</v>
      </c>
      <c r="T42" s="845">
        <f t="shared" si="4"/>
        <v>6</v>
      </c>
      <c r="U42" s="846">
        <v>0</v>
      </c>
      <c r="V42" s="854">
        <v>105000</v>
      </c>
      <c r="W42" s="847"/>
      <c r="X42" s="848">
        <f t="shared" si="5"/>
        <v>0</v>
      </c>
    </row>
    <row r="43" spans="1:24" ht="21.75" thickBot="1" x14ac:dyDescent="0.45">
      <c r="A43" s="840">
        <v>12</v>
      </c>
      <c r="B43" s="841">
        <f t="shared" si="7"/>
        <v>492842615.13999999</v>
      </c>
      <c r="C43" s="853">
        <v>0.08</v>
      </c>
      <c r="D43" s="844">
        <v>43949</v>
      </c>
      <c r="E43" s="843">
        <v>43950</v>
      </c>
      <c r="F43" s="845">
        <f>+E43-D43+1</f>
        <v>2</v>
      </c>
      <c r="G43" s="846">
        <f t="shared" si="6"/>
        <v>215450.32355846994</v>
      </c>
      <c r="H43" s="854">
        <v>35000</v>
      </c>
      <c r="I43" s="847"/>
      <c r="J43" s="848">
        <f t="shared" si="3"/>
        <v>215450.32355846994</v>
      </c>
      <c r="O43" s="840">
        <v>12</v>
      </c>
      <c r="P43" s="841">
        <f t="shared" si="8"/>
        <v>492842615.13999999</v>
      </c>
      <c r="Q43" s="853">
        <v>0.08</v>
      </c>
      <c r="R43" s="844">
        <v>43949</v>
      </c>
      <c r="S43" s="843">
        <v>43950</v>
      </c>
      <c r="T43" s="845">
        <f>+S43-R43+1</f>
        <v>2</v>
      </c>
      <c r="U43" s="846">
        <v>0</v>
      </c>
      <c r="V43" s="854">
        <v>35000</v>
      </c>
      <c r="W43" s="847"/>
      <c r="X43" s="848">
        <f t="shared" si="5"/>
        <v>0</v>
      </c>
    </row>
    <row r="44" spans="1:24" ht="21.75" thickBot="1" x14ac:dyDescent="0.45">
      <c r="A44" s="840">
        <v>13</v>
      </c>
      <c r="B44" s="841">
        <f t="shared" si="7"/>
        <v>492832615.13999999</v>
      </c>
      <c r="C44" s="853">
        <v>0.08</v>
      </c>
      <c r="D44" s="844">
        <v>43951</v>
      </c>
      <c r="E44" s="843">
        <v>43962</v>
      </c>
      <c r="F44" s="845">
        <f>+E44-D44+1</f>
        <v>12</v>
      </c>
      <c r="G44" s="846">
        <f t="shared" si="6"/>
        <v>1292675.7118426228</v>
      </c>
      <c r="H44" s="854">
        <v>10000</v>
      </c>
      <c r="I44" s="847"/>
      <c r="J44" s="848">
        <f t="shared" si="3"/>
        <v>1292675.7118426228</v>
      </c>
      <c r="O44" s="840">
        <v>13</v>
      </c>
      <c r="P44" s="841">
        <f t="shared" si="8"/>
        <v>492832615.13999999</v>
      </c>
      <c r="Q44" s="853">
        <v>0.08</v>
      </c>
      <c r="R44" s="844">
        <v>43951</v>
      </c>
      <c r="S44" s="843">
        <v>43962</v>
      </c>
      <c r="T44" s="845">
        <f>+S44-R44+1</f>
        <v>12</v>
      </c>
      <c r="U44" s="846">
        <v>0</v>
      </c>
      <c r="V44" s="854">
        <v>10000</v>
      </c>
      <c r="W44" s="847"/>
      <c r="X44" s="848">
        <f t="shared" si="5"/>
        <v>0</v>
      </c>
    </row>
    <row r="45" spans="1:24" ht="21.75" thickBot="1" x14ac:dyDescent="0.45">
      <c r="A45" s="840">
        <v>14</v>
      </c>
      <c r="B45" s="841">
        <f t="shared" si="7"/>
        <v>492526615.13999999</v>
      </c>
      <c r="C45" s="853">
        <v>0.08</v>
      </c>
      <c r="D45" s="844">
        <v>43963</v>
      </c>
      <c r="E45" s="843">
        <v>43984</v>
      </c>
      <c r="F45" s="845">
        <f t="shared" si="2"/>
        <v>22</v>
      </c>
      <c r="G45" s="846">
        <f t="shared" si="6"/>
        <v>2368433.9963016394</v>
      </c>
      <c r="H45" s="854">
        <v>306000</v>
      </c>
      <c r="I45" s="847"/>
      <c r="J45" s="848">
        <f t="shared" si="3"/>
        <v>2368433.9963016394</v>
      </c>
      <c r="O45" s="840">
        <v>14</v>
      </c>
      <c r="P45" s="841">
        <f t="shared" si="8"/>
        <v>492526615.13999999</v>
      </c>
      <c r="Q45" s="853">
        <v>0.08</v>
      </c>
      <c r="R45" s="844">
        <v>43963</v>
      </c>
      <c r="S45" s="843">
        <v>43984</v>
      </c>
      <c r="T45" s="845">
        <f t="shared" ref="T45" si="9">+S45-R45+1</f>
        <v>22</v>
      </c>
      <c r="U45" s="846">
        <v>0</v>
      </c>
      <c r="V45" s="854">
        <v>306000</v>
      </c>
      <c r="W45" s="847"/>
      <c r="X45" s="848">
        <f t="shared" si="5"/>
        <v>0</v>
      </c>
    </row>
    <row r="46" spans="1:24" ht="21.75" thickBot="1" x14ac:dyDescent="0.45">
      <c r="A46" s="840">
        <v>15</v>
      </c>
      <c r="B46" s="841">
        <f t="shared" si="7"/>
        <v>492521615.13999999</v>
      </c>
      <c r="C46" s="853">
        <v>0.08</v>
      </c>
      <c r="D46" s="844">
        <v>43985</v>
      </c>
      <c r="E46" s="843">
        <v>44004</v>
      </c>
      <c r="F46" s="845">
        <f>+E46-D46+1</f>
        <v>20</v>
      </c>
      <c r="G46" s="846">
        <f t="shared" si="6"/>
        <v>2153099.9568961747</v>
      </c>
      <c r="H46" s="854">
        <v>5000</v>
      </c>
      <c r="I46" s="847"/>
      <c r="J46" s="848">
        <f t="shared" si="3"/>
        <v>2153099.9568961747</v>
      </c>
      <c r="O46" s="840">
        <v>15</v>
      </c>
      <c r="P46" s="841">
        <f t="shared" si="8"/>
        <v>492521615.13999999</v>
      </c>
      <c r="Q46" s="853">
        <v>0.08</v>
      </c>
      <c r="R46" s="844">
        <v>43985</v>
      </c>
      <c r="S46" s="843">
        <v>44004</v>
      </c>
      <c r="T46" s="845">
        <f>+S46-R46+1</f>
        <v>20</v>
      </c>
      <c r="U46" s="846">
        <v>0</v>
      </c>
      <c r="V46" s="854">
        <v>5000</v>
      </c>
      <c r="W46" s="847"/>
      <c r="X46" s="848">
        <f t="shared" si="5"/>
        <v>0</v>
      </c>
    </row>
    <row r="47" spans="1:24" ht="21.75" thickBot="1" x14ac:dyDescent="0.45">
      <c r="A47" s="840">
        <v>16</v>
      </c>
      <c r="B47" s="841">
        <f t="shared" si="7"/>
        <v>491221615.13999999</v>
      </c>
      <c r="C47" s="853">
        <v>0.08</v>
      </c>
      <c r="D47" s="844">
        <v>44005</v>
      </c>
      <c r="E47" s="843">
        <v>44012</v>
      </c>
      <c r="F47" s="845">
        <f t="shared" si="2"/>
        <v>8</v>
      </c>
      <c r="G47" s="846">
        <f t="shared" si="6"/>
        <v>858966.75871475402</v>
      </c>
      <c r="H47" s="854">
        <v>1300000</v>
      </c>
      <c r="I47" s="847"/>
      <c r="J47" s="848">
        <f t="shared" si="3"/>
        <v>858966.75871475402</v>
      </c>
      <c r="O47" s="840">
        <v>16</v>
      </c>
      <c r="P47" s="841">
        <f t="shared" si="8"/>
        <v>491221615.13999999</v>
      </c>
      <c r="Q47" s="853">
        <v>0.08</v>
      </c>
      <c r="R47" s="844">
        <v>44005</v>
      </c>
      <c r="S47" s="843">
        <v>44012</v>
      </c>
      <c r="T47" s="845">
        <f t="shared" ref="T47" si="10">+S47-R47+1</f>
        <v>8</v>
      </c>
      <c r="U47" s="846">
        <v>0</v>
      </c>
      <c r="V47" s="854">
        <v>1300000</v>
      </c>
      <c r="W47" s="847"/>
      <c r="X47" s="848">
        <f t="shared" si="5"/>
        <v>0</v>
      </c>
    </row>
    <row r="48" spans="1:24" ht="21.75" thickBot="1" x14ac:dyDescent="0.45">
      <c r="A48" s="840">
        <v>17</v>
      </c>
      <c r="B48" s="841">
        <f t="shared" si="7"/>
        <v>491114615.13999999</v>
      </c>
      <c r="C48" s="853">
        <v>0.08</v>
      </c>
      <c r="D48" s="844">
        <v>44013</v>
      </c>
      <c r="E48" s="843">
        <v>44052</v>
      </c>
      <c r="F48" s="845">
        <f>+E48-D48+1</f>
        <v>40</v>
      </c>
      <c r="G48" s="846">
        <f>(B48*C48*F48)/366</f>
        <v>4293898.2744480874</v>
      </c>
      <c r="H48" s="854">
        <v>107000</v>
      </c>
      <c r="I48" s="847"/>
      <c r="J48" s="848">
        <f t="shared" si="3"/>
        <v>4293898.2744480874</v>
      </c>
      <c r="O48" s="840">
        <v>17</v>
      </c>
      <c r="P48" s="841">
        <f t="shared" si="8"/>
        <v>491114615.13999999</v>
      </c>
      <c r="Q48" s="853">
        <v>0.08</v>
      </c>
      <c r="R48" s="844">
        <v>44013</v>
      </c>
      <c r="S48" s="843">
        <v>44052</v>
      </c>
      <c r="T48" s="845">
        <f>+S48-R48+1</f>
        <v>40</v>
      </c>
      <c r="U48" s="846">
        <v>0</v>
      </c>
      <c r="V48" s="854">
        <v>107000</v>
      </c>
      <c r="W48" s="847"/>
      <c r="X48" s="848">
        <f t="shared" si="5"/>
        <v>0</v>
      </c>
    </row>
    <row r="49" spans="1:24" ht="21.75" thickBot="1" x14ac:dyDescent="0.45">
      <c r="A49" s="840">
        <v>20</v>
      </c>
      <c r="B49" s="841">
        <f>+B48-H49</f>
        <v>491112615.13999999</v>
      </c>
      <c r="C49" s="853">
        <v>0.08</v>
      </c>
      <c r="D49" s="844">
        <v>44053</v>
      </c>
      <c r="E49" s="843">
        <v>44062</v>
      </c>
      <c r="F49" s="845">
        <f t="shared" ref="F49:F55" si="11">+E49-D49+1</f>
        <v>10</v>
      </c>
      <c r="G49" s="846">
        <f t="shared" ref="G49:G54" si="12">(B49*C49*F49)/366</f>
        <v>1073470.1970273224</v>
      </c>
      <c r="H49" s="854">
        <v>2000</v>
      </c>
      <c r="I49" s="847"/>
      <c r="J49" s="848">
        <f t="shared" si="3"/>
        <v>1073470.1970273224</v>
      </c>
      <c r="O49" s="840">
        <v>20</v>
      </c>
      <c r="P49" s="841">
        <f>+P48-V49</f>
        <v>491112615.13999999</v>
      </c>
      <c r="Q49" s="853">
        <v>0.08</v>
      </c>
      <c r="R49" s="844">
        <v>44053</v>
      </c>
      <c r="S49" s="843">
        <v>44062</v>
      </c>
      <c r="T49" s="845">
        <f t="shared" ref="T49:T53" si="13">+S49-R49+1</f>
        <v>10</v>
      </c>
      <c r="U49" s="846">
        <v>0</v>
      </c>
      <c r="V49" s="854">
        <v>2000</v>
      </c>
      <c r="W49" s="847"/>
      <c r="X49" s="848">
        <f t="shared" si="5"/>
        <v>0</v>
      </c>
    </row>
    <row r="50" spans="1:24" s="834" customFormat="1" ht="21.75" thickBot="1" x14ac:dyDescent="0.45">
      <c r="A50" s="840">
        <v>21</v>
      </c>
      <c r="B50" s="841">
        <f t="shared" si="7"/>
        <v>490062615.13999999</v>
      </c>
      <c r="C50" s="853">
        <v>0.08</v>
      </c>
      <c r="D50" s="844">
        <v>44063</v>
      </c>
      <c r="E50" s="843">
        <v>44129</v>
      </c>
      <c r="F50" s="845">
        <f t="shared" si="11"/>
        <v>67</v>
      </c>
      <c r="G50" s="846">
        <f>(B50*C50*F50)/366</f>
        <v>7176873.2709027324</v>
      </c>
      <c r="H50" s="854">
        <v>1050000</v>
      </c>
      <c r="I50" s="847"/>
      <c r="J50" s="848">
        <f t="shared" si="3"/>
        <v>7176873.2709027324</v>
      </c>
      <c r="O50" s="840">
        <v>21</v>
      </c>
      <c r="P50" s="841">
        <f t="shared" ref="P50" si="14">P49-V50</f>
        <v>490062615.13999999</v>
      </c>
      <c r="Q50" s="853">
        <v>0.08</v>
      </c>
      <c r="R50" s="844">
        <v>44063</v>
      </c>
      <c r="S50" s="843">
        <v>44129</v>
      </c>
      <c r="T50" s="845">
        <f t="shared" si="13"/>
        <v>67</v>
      </c>
      <c r="U50" s="846">
        <v>0</v>
      </c>
      <c r="V50" s="854">
        <v>1050000</v>
      </c>
      <c r="W50" s="847"/>
      <c r="X50" s="848">
        <f t="shared" si="5"/>
        <v>0</v>
      </c>
    </row>
    <row r="51" spans="1:24" ht="21.75" thickBot="1" x14ac:dyDescent="0.45">
      <c r="A51" s="840">
        <v>24</v>
      </c>
      <c r="B51" s="841">
        <f>+B50-H51</f>
        <v>489403615.13999999</v>
      </c>
      <c r="C51" s="853">
        <v>0.08</v>
      </c>
      <c r="D51" s="844">
        <v>44130</v>
      </c>
      <c r="E51" s="843">
        <v>44147</v>
      </c>
      <c r="F51" s="845">
        <f t="shared" si="11"/>
        <v>18</v>
      </c>
      <c r="G51" s="846">
        <f t="shared" si="12"/>
        <v>1925522.4202229509</v>
      </c>
      <c r="H51" s="854">
        <v>659000</v>
      </c>
      <c r="I51" s="847"/>
      <c r="J51" s="848">
        <f>G51-I51</f>
        <v>1925522.4202229509</v>
      </c>
      <c r="O51" s="840">
        <v>24</v>
      </c>
      <c r="P51" s="841">
        <f>+P50-V51</f>
        <v>489403615.13999999</v>
      </c>
      <c r="Q51" s="853">
        <v>0.08</v>
      </c>
      <c r="R51" s="844">
        <v>44130</v>
      </c>
      <c r="S51" s="843">
        <v>44147</v>
      </c>
      <c r="T51" s="845">
        <f t="shared" si="13"/>
        <v>18</v>
      </c>
      <c r="U51" s="846">
        <v>0</v>
      </c>
      <c r="V51" s="854">
        <v>659000</v>
      </c>
      <c r="W51" s="847"/>
      <c r="X51" s="848">
        <f>U51-W51</f>
        <v>0</v>
      </c>
    </row>
    <row r="52" spans="1:24" ht="21.75" thickBot="1" x14ac:dyDescent="0.45">
      <c r="A52" s="840">
        <v>26</v>
      </c>
      <c r="B52" s="841">
        <f>+B51-H52</f>
        <v>486228615.13999999</v>
      </c>
      <c r="C52" s="853">
        <v>0.08</v>
      </c>
      <c r="D52" s="844">
        <v>44148</v>
      </c>
      <c r="E52" s="843">
        <v>44150</v>
      </c>
      <c r="F52" s="845">
        <f t="shared" si="11"/>
        <v>3</v>
      </c>
      <c r="G52" s="846">
        <f t="shared" si="12"/>
        <v>318838.43615737703</v>
      </c>
      <c r="H52" s="854">
        <v>3175000</v>
      </c>
      <c r="I52" s="847"/>
      <c r="J52" s="848">
        <f t="shared" si="3"/>
        <v>318838.43615737703</v>
      </c>
      <c r="O52" s="840">
        <v>26</v>
      </c>
      <c r="P52" s="841">
        <f>+P51-V52</f>
        <v>486228615.13999999</v>
      </c>
      <c r="Q52" s="853">
        <v>0.08</v>
      </c>
      <c r="R52" s="844">
        <v>44148</v>
      </c>
      <c r="S52" s="843">
        <v>44150</v>
      </c>
      <c r="T52" s="845">
        <f t="shared" si="13"/>
        <v>3</v>
      </c>
      <c r="U52" s="846">
        <v>0</v>
      </c>
      <c r="V52" s="854">
        <v>3175000</v>
      </c>
      <c r="W52" s="847"/>
      <c r="X52" s="848">
        <f t="shared" ref="X52:X54" si="15">U52-W52</f>
        <v>0</v>
      </c>
    </row>
    <row r="53" spans="1:24" ht="21.75" thickBot="1" x14ac:dyDescent="0.45">
      <c r="A53" s="840">
        <v>27</v>
      </c>
      <c r="B53" s="841">
        <f t="shared" si="7"/>
        <v>486163615.13999999</v>
      </c>
      <c r="C53" s="853">
        <v>0.08</v>
      </c>
      <c r="D53" s="844">
        <v>44151</v>
      </c>
      <c r="E53" s="843">
        <v>44182</v>
      </c>
      <c r="F53" s="845">
        <f t="shared" si="11"/>
        <v>32</v>
      </c>
      <c r="G53" s="846">
        <f t="shared" si="12"/>
        <v>3400488.6742032785</v>
      </c>
      <c r="H53" s="854">
        <v>65000</v>
      </c>
      <c r="I53" s="847"/>
      <c r="J53" s="848">
        <f t="shared" si="3"/>
        <v>3400488.6742032785</v>
      </c>
      <c r="O53" s="840">
        <v>27</v>
      </c>
      <c r="P53" s="841">
        <f t="shared" ref="P53" si="16">P52-V53</f>
        <v>486163615.13999999</v>
      </c>
      <c r="Q53" s="853">
        <v>0.08</v>
      </c>
      <c r="R53" s="844">
        <v>44151</v>
      </c>
      <c r="S53" s="843">
        <v>44182</v>
      </c>
      <c r="T53" s="845">
        <f t="shared" si="13"/>
        <v>32</v>
      </c>
      <c r="U53" s="846">
        <v>0</v>
      </c>
      <c r="V53" s="854">
        <v>65000</v>
      </c>
      <c r="W53" s="847"/>
      <c r="X53" s="848">
        <f t="shared" si="15"/>
        <v>0</v>
      </c>
    </row>
    <row r="54" spans="1:24" ht="21.75" thickBot="1" x14ac:dyDescent="0.45">
      <c r="A54" s="840">
        <v>29</v>
      </c>
      <c r="B54" s="841">
        <f>+B53-H54</f>
        <v>484163615.13999999</v>
      </c>
      <c r="C54" s="853">
        <v>0.08</v>
      </c>
      <c r="D54" s="844">
        <v>44183</v>
      </c>
      <c r="E54" s="843">
        <v>44187</v>
      </c>
      <c r="F54" s="845">
        <f>+E54-D54+1</f>
        <v>5</v>
      </c>
      <c r="G54" s="846">
        <f t="shared" si="12"/>
        <v>529140.56299453555</v>
      </c>
      <c r="H54" s="854">
        <v>2000000</v>
      </c>
      <c r="I54" s="847"/>
      <c r="J54" s="848">
        <f t="shared" si="3"/>
        <v>529140.56299453555</v>
      </c>
      <c r="O54" s="840">
        <v>29</v>
      </c>
      <c r="P54" s="841">
        <f>+P53-V54</f>
        <v>484163615.13999999</v>
      </c>
      <c r="Q54" s="853">
        <v>0.08</v>
      </c>
      <c r="R54" s="844">
        <v>44183</v>
      </c>
      <c r="S54" s="843">
        <v>44187</v>
      </c>
      <c r="T54" s="845">
        <f>+S54-R54+1</f>
        <v>5</v>
      </c>
      <c r="U54" s="846">
        <v>0</v>
      </c>
      <c r="V54" s="854">
        <v>2000000</v>
      </c>
      <c r="W54" s="847"/>
      <c r="X54" s="848">
        <f t="shared" si="15"/>
        <v>0</v>
      </c>
    </row>
    <row r="55" spans="1:24" ht="21.75" thickBot="1" x14ac:dyDescent="0.45">
      <c r="A55" s="840">
        <v>30</v>
      </c>
      <c r="B55" s="841">
        <f>B54-H55</f>
        <v>483610935.13999999</v>
      </c>
      <c r="C55" s="853">
        <v>0.08</v>
      </c>
      <c r="D55" s="844">
        <v>44188</v>
      </c>
      <c r="E55" s="843">
        <v>44196</v>
      </c>
      <c r="F55" s="845">
        <f t="shared" si="11"/>
        <v>9</v>
      </c>
      <c r="G55" s="846">
        <f>(B55*C55*F55)/366</f>
        <v>951365.77404590172</v>
      </c>
      <c r="H55" s="854">
        <v>552680</v>
      </c>
      <c r="I55" s="846">
        <v>320</v>
      </c>
      <c r="J55" s="848">
        <f>G55-I55</f>
        <v>951045.77404590172</v>
      </c>
      <c r="O55" s="840">
        <v>30</v>
      </c>
      <c r="P55" s="841">
        <f>P54-V55</f>
        <v>483610935.13999999</v>
      </c>
      <c r="Q55" s="853">
        <v>0.08</v>
      </c>
      <c r="R55" s="844">
        <v>44188</v>
      </c>
      <c r="S55" s="843">
        <v>44196</v>
      </c>
      <c r="T55" s="845">
        <f t="shared" ref="T55" si="17">+S55-R55+1</f>
        <v>9</v>
      </c>
      <c r="U55" s="846">
        <v>0</v>
      </c>
      <c r="V55" s="854">
        <v>552680</v>
      </c>
      <c r="W55" s="846">
        <v>320</v>
      </c>
      <c r="X55" s="848">
        <f>U55-W55</f>
        <v>-320</v>
      </c>
    </row>
    <row r="56" spans="1:24" ht="21.75" thickBot="1" x14ac:dyDescent="0.45">
      <c r="A56" s="1008" t="s">
        <v>68</v>
      </c>
      <c r="B56" s="1009"/>
      <c r="C56" s="1009"/>
      <c r="D56" s="1009"/>
      <c r="E56" s="1010"/>
      <c r="F56" s="87">
        <f>SUM(F32:F55)</f>
        <v>366</v>
      </c>
      <c r="G56" s="88">
        <f>SUM(G32:G55)</f>
        <v>39335113.071589068</v>
      </c>
      <c r="H56" s="89">
        <f>SUM(H32:H55)</f>
        <v>12374560.859999999</v>
      </c>
      <c r="I56" s="90">
        <f>SUM(I51:I55)</f>
        <v>320</v>
      </c>
      <c r="J56" s="91">
        <f>SUM(J32:J55)</f>
        <v>39334793.071589068</v>
      </c>
      <c r="O56" s="1008" t="s">
        <v>68</v>
      </c>
      <c r="P56" s="1009"/>
      <c r="Q56" s="1009"/>
      <c r="R56" s="1009"/>
      <c r="S56" s="1010"/>
      <c r="T56" s="87">
        <f>SUM(T32:T55)</f>
        <v>366</v>
      </c>
      <c r="U56" s="88">
        <f>SUM(U32:U55)</f>
        <v>0</v>
      </c>
      <c r="V56" s="89">
        <f>SUM(V32:V55)</f>
        <v>12374560.859999999</v>
      </c>
      <c r="W56" s="90">
        <f>SUM(W51:W55)</f>
        <v>320</v>
      </c>
      <c r="X56" s="91">
        <f>SUM(X32:X55)</f>
        <v>-320</v>
      </c>
    </row>
    <row r="57" spans="1:24" ht="21.75" thickBot="1" x14ac:dyDescent="0.45">
      <c r="A57" s="807">
        <v>1</v>
      </c>
      <c r="B57" s="86">
        <f>B55-H57</f>
        <v>483610935.13999999</v>
      </c>
      <c r="C57" s="78">
        <v>0.08</v>
      </c>
      <c r="D57" s="79">
        <v>44197</v>
      </c>
      <c r="E57" s="80">
        <v>44561</v>
      </c>
      <c r="F57" s="92">
        <f>+E57-D57+1</f>
        <v>365</v>
      </c>
      <c r="G57" s="77">
        <f>(B57*C57*F57)/365</f>
        <v>38688874.8112</v>
      </c>
      <c r="H57" s="81">
        <v>0</v>
      </c>
      <c r="I57" s="81">
        <v>0</v>
      </c>
      <c r="J57" s="82">
        <f>G57-I57</f>
        <v>38688874.8112</v>
      </c>
      <c r="O57" s="885">
        <v>1</v>
      </c>
      <c r="P57" s="86">
        <f>P55-V57</f>
        <v>483610935.13999999</v>
      </c>
      <c r="Q57" s="78">
        <v>0.08</v>
      </c>
      <c r="R57" s="79">
        <v>44197</v>
      </c>
      <c r="S57" s="80">
        <v>44561</v>
      </c>
      <c r="T57" s="92">
        <f>+S57-R57+1</f>
        <v>365</v>
      </c>
      <c r="U57" s="77">
        <v>0</v>
      </c>
      <c r="V57" s="81">
        <v>0</v>
      </c>
      <c r="W57" s="81">
        <v>0</v>
      </c>
      <c r="X57" s="82">
        <f>U57-W57</f>
        <v>0</v>
      </c>
    </row>
    <row r="58" spans="1:24" ht="21.75" thickBot="1" x14ac:dyDescent="0.45">
      <c r="A58" s="1008" t="s">
        <v>70</v>
      </c>
      <c r="B58" s="1009"/>
      <c r="C58" s="1009"/>
      <c r="D58" s="1009"/>
      <c r="E58" s="1010"/>
      <c r="F58" s="137">
        <f>+F57</f>
        <v>365</v>
      </c>
      <c r="G58" s="138">
        <f>+G57</f>
        <v>38688874.8112</v>
      </c>
      <c r="H58" s="139">
        <f>+H57</f>
        <v>0</v>
      </c>
      <c r="I58" s="139">
        <f>+I57</f>
        <v>0</v>
      </c>
      <c r="J58" s="140">
        <f>+J57</f>
        <v>38688874.8112</v>
      </c>
      <c r="O58" s="1008" t="s">
        <v>70</v>
      </c>
      <c r="P58" s="1009"/>
      <c r="Q58" s="1009"/>
      <c r="R58" s="1009"/>
      <c r="S58" s="1010"/>
      <c r="T58" s="137">
        <f>+T57</f>
        <v>365</v>
      </c>
      <c r="U58" s="138">
        <f>+U57</f>
        <v>0</v>
      </c>
      <c r="V58" s="139">
        <f>+V57</f>
        <v>0</v>
      </c>
      <c r="W58" s="139">
        <f>+W57</f>
        <v>0</v>
      </c>
      <c r="X58" s="140">
        <f>+X57</f>
        <v>0</v>
      </c>
    </row>
    <row r="59" spans="1:24" ht="21.75" thickBot="1" x14ac:dyDescent="0.45">
      <c r="A59" s="807">
        <v>1</v>
      </c>
      <c r="B59" s="86">
        <f>+B57</f>
        <v>483610935.13999999</v>
      </c>
      <c r="C59" s="78">
        <v>0.08</v>
      </c>
      <c r="D59" s="79">
        <v>44562</v>
      </c>
      <c r="E59" s="80">
        <v>44850</v>
      </c>
      <c r="F59" s="92">
        <f>+E59-D59+1</f>
        <v>289</v>
      </c>
      <c r="G59" s="77">
        <f>(B59*C59*F59)/365</f>
        <v>30633109.097087122</v>
      </c>
      <c r="H59" s="81">
        <v>0</v>
      </c>
      <c r="I59" s="81">
        <v>0</v>
      </c>
      <c r="J59" s="82">
        <f>+G59-I59</f>
        <v>30633109.097087122</v>
      </c>
      <c r="O59" s="885">
        <v>1</v>
      </c>
      <c r="P59" s="86">
        <f>+P57</f>
        <v>483610935.13999999</v>
      </c>
      <c r="Q59" s="78">
        <v>0.08</v>
      </c>
      <c r="R59" s="79">
        <v>44562</v>
      </c>
      <c r="S59" s="80">
        <v>44850</v>
      </c>
      <c r="T59" s="92">
        <f>+S59-R59+1</f>
        <v>289</v>
      </c>
      <c r="U59" s="77">
        <v>0</v>
      </c>
      <c r="V59" s="81">
        <v>0</v>
      </c>
      <c r="W59" s="81">
        <v>0</v>
      </c>
      <c r="X59" s="82">
        <f>+U59-W59</f>
        <v>0</v>
      </c>
    </row>
    <row r="60" spans="1:24" ht="21.75" thickBot="1" x14ac:dyDescent="0.45">
      <c r="A60" s="807">
        <v>3</v>
      </c>
      <c r="B60" s="86">
        <f>+B59-H60</f>
        <v>479721766.94</v>
      </c>
      <c r="C60" s="78">
        <v>0.08</v>
      </c>
      <c r="D60" s="79">
        <v>44851</v>
      </c>
      <c r="E60" s="79">
        <v>44851</v>
      </c>
      <c r="F60" s="92">
        <f>+E60-D60+1</f>
        <v>1</v>
      </c>
      <c r="G60" s="77">
        <f>(B60*C60*F60)/365</f>
        <v>105144.49686356164</v>
      </c>
      <c r="H60" s="136">
        <v>3889168.2</v>
      </c>
      <c r="I60" s="81">
        <v>0</v>
      </c>
      <c r="J60" s="82">
        <f>+G60-I60</f>
        <v>105144.49686356164</v>
      </c>
      <c r="O60" s="885">
        <v>3</v>
      </c>
      <c r="P60" s="86">
        <f>+P59-V60</f>
        <v>479721766.94</v>
      </c>
      <c r="Q60" s="78">
        <v>0.08</v>
      </c>
      <c r="R60" s="79">
        <v>44851</v>
      </c>
      <c r="S60" s="79">
        <v>44851</v>
      </c>
      <c r="T60" s="92">
        <f>+S60-R60+1</f>
        <v>1</v>
      </c>
      <c r="U60" s="77">
        <v>0</v>
      </c>
      <c r="V60" s="136">
        <v>3889168.2</v>
      </c>
      <c r="W60" s="81">
        <v>0</v>
      </c>
      <c r="X60" s="82">
        <f>+U60-W60</f>
        <v>0</v>
      </c>
    </row>
    <row r="61" spans="1:24" ht="21.75" thickBot="1" x14ac:dyDescent="0.45">
      <c r="A61" s="807">
        <v>4</v>
      </c>
      <c r="B61" s="86">
        <f>+B60-H61</f>
        <v>477351420.60000002</v>
      </c>
      <c r="C61" s="78">
        <v>0.08</v>
      </c>
      <c r="D61" s="79">
        <v>44852</v>
      </c>
      <c r="E61" s="80">
        <v>44926</v>
      </c>
      <c r="F61" s="92">
        <f>+E61-D61+1</f>
        <v>75</v>
      </c>
      <c r="G61" s="77">
        <f>(B61*C61*F61)/365</f>
        <v>7846872.6673972616</v>
      </c>
      <c r="H61" s="136">
        <v>2370346.34</v>
      </c>
      <c r="I61" s="81">
        <v>0</v>
      </c>
      <c r="J61" s="82">
        <f>+G61-I61</f>
        <v>7846872.6673972616</v>
      </c>
      <c r="O61" s="885">
        <v>4</v>
      </c>
      <c r="P61" s="86">
        <f>+P60-V61</f>
        <v>477351420.60000002</v>
      </c>
      <c r="Q61" s="78">
        <v>0.08</v>
      </c>
      <c r="R61" s="79">
        <v>44852</v>
      </c>
      <c r="S61" s="80">
        <v>44926</v>
      </c>
      <c r="T61" s="92">
        <f>+S61-R61+1</f>
        <v>75</v>
      </c>
      <c r="U61" s="77">
        <v>0</v>
      </c>
      <c r="V61" s="136">
        <v>2370346.34</v>
      </c>
      <c r="W61" s="81">
        <v>0</v>
      </c>
      <c r="X61" s="82">
        <f>+U61-W61</f>
        <v>0</v>
      </c>
    </row>
    <row r="62" spans="1:24" ht="21.75" thickBot="1" x14ac:dyDescent="0.45">
      <c r="A62" s="1011" t="s">
        <v>92</v>
      </c>
      <c r="B62" s="1012"/>
      <c r="C62" s="1012"/>
      <c r="D62" s="1012"/>
      <c r="E62" s="1013"/>
      <c r="F62" s="106">
        <f>SUM(F59:F61)</f>
        <v>365</v>
      </c>
      <c r="G62" s="107">
        <f>SUM(G59:G61)</f>
        <v>38585126.26134795</v>
      </c>
      <c r="H62" s="108">
        <f>+H59+H60+H61</f>
        <v>6259514.54</v>
      </c>
      <c r="I62" s="108">
        <f>+I59+I60+I61</f>
        <v>0</v>
      </c>
      <c r="J62" s="109">
        <f>SUM(J59:J61)</f>
        <v>38585126.26134795</v>
      </c>
      <c r="O62" s="1011" t="s">
        <v>92</v>
      </c>
      <c r="P62" s="1012"/>
      <c r="Q62" s="1012"/>
      <c r="R62" s="1012"/>
      <c r="S62" s="1013"/>
      <c r="T62" s="106">
        <f>SUM(T59:T61)</f>
        <v>365</v>
      </c>
      <c r="U62" s="107">
        <f>SUM(U59:U61)</f>
        <v>0</v>
      </c>
      <c r="V62" s="108">
        <f>+V59+V60+V61</f>
        <v>6259514.54</v>
      </c>
      <c r="W62" s="108">
        <f>+W59+W60+W61</f>
        <v>0</v>
      </c>
      <c r="X62" s="109">
        <f>SUM(X59:X61)</f>
        <v>0</v>
      </c>
    </row>
    <row r="63" spans="1:24" ht="21.75" thickBot="1" x14ac:dyDescent="0.45">
      <c r="A63" s="807">
        <v>1</v>
      </c>
      <c r="B63" s="86">
        <v>477351420.60000002</v>
      </c>
      <c r="C63" s="78">
        <v>0.08</v>
      </c>
      <c r="D63" s="79">
        <v>44927</v>
      </c>
      <c r="E63" s="80">
        <v>45043</v>
      </c>
      <c r="F63" s="92">
        <f>+E63-D63+1</f>
        <v>117</v>
      </c>
      <c r="G63" s="77">
        <f>(B63*C63*F63)/365</f>
        <v>12241121.361139726</v>
      </c>
      <c r="H63" s="81">
        <v>0</v>
      </c>
      <c r="I63" s="81">
        <v>0</v>
      </c>
      <c r="J63" s="82">
        <f>+G63-I63</f>
        <v>12241121.361139726</v>
      </c>
      <c r="O63" s="885">
        <v>1</v>
      </c>
      <c r="P63" s="86">
        <v>477351420.60000002</v>
      </c>
      <c r="Q63" s="78">
        <v>0.08</v>
      </c>
      <c r="R63" s="79">
        <v>44927</v>
      </c>
      <c r="S63" s="80">
        <v>45043</v>
      </c>
      <c r="T63" s="92">
        <f>+S63-R63+1</f>
        <v>117</v>
      </c>
      <c r="U63" s="77">
        <v>0</v>
      </c>
      <c r="V63" s="81">
        <v>0</v>
      </c>
      <c r="W63" s="81">
        <v>0</v>
      </c>
      <c r="X63" s="82">
        <f>+U63-W63</f>
        <v>0</v>
      </c>
    </row>
    <row r="64" spans="1:24" ht="21.75" thickBot="1" x14ac:dyDescent="0.45">
      <c r="A64" s="807">
        <v>2</v>
      </c>
      <c r="B64" s="86">
        <f>+B63-H64</f>
        <v>477027920.60000002</v>
      </c>
      <c r="C64" s="78">
        <v>0.08</v>
      </c>
      <c r="D64" s="79">
        <v>45044</v>
      </c>
      <c r="E64" s="80">
        <v>45291</v>
      </c>
      <c r="F64" s="92">
        <f>+E64-D64+1</f>
        <v>248</v>
      </c>
      <c r="G64" s="77">
        <f>(B64*C64*F64)/365</f>
        <v>25929408.067682192</v>
      </c>
      <c r="H64" s="81">
        <v>323500</v>
      </c>
      <c r="I64" s="81">
        <v>0</v>
      </c>
      <c r="J64" s="82">
        <f>+G64-I64</f>
        <v>25929408.067682192</v>
      </c>
      <c r="O64" s="885">
        <v>2</v>
      </c>
      <c r="P64" s="86">
        <f>+P63-V64</f>
        <v>477027920.60000002</v>
      </c>
      <c r="Q64" s="78">
        <v>0.08</v>
      </c>
      <c r="R64" s="79">
        <v>45044</v>
      </c>
      <c r="S64" s="80">
        <v>45291</v>
      </c>
      <c r="T64" s="92">
        <f>+S64-R64+1</f>
        <v>248</v>
      </c>
      <c r="U64" s="77">
        <v>0</v>
      </c>
      <c r="V64" s="81">
        <v>323500</v>
      </c>
      <c r="W64" s="81">
        <v>0</v>
      </c>
      <c r="X64" s="82">
        <f>+U64-W64</f>
        <v>0</v>
      </c>
    </row>
    <row r="65" spans="1:24" ht="24.75" customHeight="1" thickBot="1" x14ac:dyDescent="0.45">
      <c r="A65" s="1011" t="s">
        <v>97</v>
      </c>
      <c r="B65" s="1012"/>
      <c r="C65" s="1012"/>
      <c r="D65" s="1012"/>
      <c r="E65" s="1013"/>
      <c r="F65" s="106">
        <f>+SUM(F63:F64)</f>
        <v>365</v>
      </c>
      <c r="G65" s="247">
        <f>+SUM(G63:G64)</f>
        <v>38170529.428821921</v>
      </c>
      <c r="H65" s="257">
        <f>+SUM(H63:H64)</f>
        <v>323500</v>
      </c>
      <c r="I65" s="106">
        <f>+SUM(I63:I64)</f>
        <v>0</v>
      </c>
      <c r="J65" s="247">
        <f>+SUM(J63:J64)</f>
        <v>38170529.428821921</v>
      </c>
      <c r="O65" s="1011" t="s">
        <v>97</v>
      </c>
      <c r="P65" s="1012"/>
      <c r="Q65" s="1012"/>
      <c r="R65" s="1012"/>
      <c r="S65" s="1013"/>
      <c r="T65" s="106">
        <f>+SUM(T63:T64)</f>
        <v>365</v>
      </c>
      <c r="U65" s="247">
        <f>+SUM(U63:U64)</f>
        <v>0</v>
      </c>
      <c r="V65" s="257">
        <f>+SUM(V63:V64)</f>
        <v>323500</v>
      </c>
      <c r="W65" s="106">
        <f>+SUM(W63:W64)</f>
        <v>0</v>
      </c>
      <c r="X65" s="247">
        <f>+SUM(X63:X64)</f>
        <v>0</v>
      </c>
    </row>
    <row r="66" spans="1:24" ht="24" customHeight="1" thickBot="1" x14ac:dyDescent="0.45">
      <c r="A66" s="807">
        <v>1</v>
      </c>
      <c r="B66" s="86">
        <v>477027920.60000002</v>
      </c>
      <c r="C66" s="78">
        <v>0.08</v>
      </c>
      <c r="D66" s="79">
        <v>45292</v>
      </c>
      <c r="E66" s="80">
        <v>45454</v>
      </c>
      <c r="F66" s="92">
        <f>+E66-D66+1</f>
        <v>163</v>
      </c>
      <c r="G66" s="77">
        <f>+B66*C66*F66/366</f>
        <v>16995748.865092896</v>
      </c>
      <c r="H66" s="81">
        <v>0</v>
      </c>
      <c r="I66" s="81">
        <v>0</v>
      </c>
      <c r="J66" s="82">
        <f>+G66-I66</f>
        <v>16995748.865092896</v>
      </c>
      <c r="O66" s="885">
        <v>1</v>
      </c>
      <c r="P66" s="86">
        <v>477027920.60000002</v>
      </c>
      <c r="Q66" s="78">
        <v>0.08</v>
      </c>
      <c r="R66" s="79">
        <v>45292</v>
      </c>
      <c r="S66" s="80">
        <v>45454</v>
      </c>
      <c r="T66" s="92">
        <f>+S66-R66+1</f>
        <v>163</v>
      </c>
      <c r="U66" s="77">
        <v>0</v>
      </c>
      <c r="V66" s="81">
        <v>0</v>
      </c>
      <c r="W66" s="81">
        <v>0</v>
      </c>
      <c r="X66" s="82">
        <f>+U66-W66</f>
        <v>0</v>
      </c>
    </row>
    <row r="67" spans="1:24" ht="24" customHeight="1" thickBot="1" x14ac:dyDescent="0.45">
      <c r="A67" s="807">
        <v>2</v>
      </c>
      <c r="B67" s="86">
        <f>+B66-H67</f>
        <v>476027920.60000002</v>
      </c>
      <c r="C67" s="78">
        <v>0.08</v>
      </c>
      <c r="D67" s="79">
        <v>45455</v>
      </c>
      <c r="E67" s="80">
        <v>45523</v>
      </c>
      <c r="F67" s="92">
        <f>+E67-D67+1</f>
        <v>69</v>
      </c>
      <c r="G67" s="77">
        <f>+B67*C67*F67/366</f>
        <v>7179437.4910163935</v>
      </c>
      <c r="H67" s="81">
        <v>1000000</v>
      </c>
      <c r="I67" s="81">
        <v>0</v>
      </c>
      <c r="J67" s="82">
        <f>+G67-I67</f>
        <v>7179437.4910163935</v>
      </c>
      <c r="O67" s="885">
        <v>2</v>
      </c>
      <c r="P67" s="86">
        <f>+P66-V67</f>
        <v>476027920.60000002</v>
      </c>
      <c r="Q67" s="78">
        <v>0.08</v>
      </c>
      <c r="R67" s="79">
        <v>45455</v>
      </c>
      <c r="S67" s="80">
        <v>45523</v>
      </c>
      <c r="T67" s="92">
        <f>+S67-R67+1</f>
        <v>69</v>
      </c>
      <c r="U67" s="77">
        <v>0</v>
      </c>
      <c r="V67" s="81">
        <v>1000000</v>
      </c>
      <c r="W67" s="81">
        <v>0</v>
      </c>
      <c r="X67" s="82">
        <f>+U67-W67</f>
        <v>0</v>
      </c>
    </row>
    <row r="68" spans="1:24" ht="24" customHeight="1" thickBot="1" x14ac:dyDescent="0.45">
      <c r="A68" s="807">
        <v>3</v>
      </c>
      <c r="B68" s="86">
        <f>+B67-H68</f>
        <v>475027920.60000002</v>
      </c>
      <c r="C68" s="78">
        <v>0.08</v>
      </c>
      <c r="D68" s="79">
        <v>45524</v>
      </c>
      <c r="E68" s="80">
        <v>45540</v>
      </c>
      <c r="F68" s="92">
        <f>+E68-D68+1</f>
        <v>17</v>
      </c>
      <c r="G68" s="77">
        <f>+B68*C68*F68/366</f>
        <v>1765131.0710819673</v>
      </c>
      <c r="H68" s="81">
        <v>1000000</v>
      </c>
      <c r="I68" s="81">
        <v>0</v>
      </c>
      <c r="J68" s="82">
        <f t="shared" ref="J68:J70" si="18">+G68-I68</f>
        <v>1765131.0710819673</v>
      </c>
      <c r="O68" s="885">
        <v>3</v>
      </c>
      <c r="P68" s="86">
        <f>+P67-V68</f>
        <v>475027920.60000002</v>
      </c>
      <c r="Q68" s="78">
        <v>0.08</v>
      </c>
      <c r="R68" s="79">
        <v>45524</v>
      </c>
      <c r="S68" s="80">
        <v>45540</v>
      </c>
      <c r="T68" s="92">
        <f>+S68-R68+1</f>
        <v>17</v>
      </c>
      <c r="U68" s="77">
        <v>0</v>
      </c>
      <c r="V68" s="81">
        <v>1000000</v>
      </c>
      <c r="W68" s="81">
        <v>0</v>
      </c>
      <c r="X68" s="82">
        <f t="shared" ref="X68:X69" si="19">+U68-W68</f>
        <v>0</v>
      </c>
    </row>
    <row r="69" spans="1:24" ht="24" customHeight="1" thickBot="1" x14ac:dyDescent="0.45">
      <c r="A69" s="807">
        <v>4</v>
      </c>
      <c r="B69" s="86">
        <f>+B68-H69</f>
        <v>465027920.60000002</v>
      </c>
      <c r="C69" s="78">
        <v>0.08</v>
      </c>
      <c r="D69" s="79">
        <v>45541</v>
      </c>
      <c r="E69" s="80">
        <v>45642</v>
      </c>
      <c r="F69" s="92">
        <f>+E69-D69+1</f>
        <v>102</v>
      </c>
      <c r="G69" s="77">
        <f>+B69*C69*F69/366</f>
        <v>10367835.606819673</v>
      </c>
      <c r="H69" s="81">
        <v>10000000</v>
      </c>
      <c r="I69" s="81">
        <v>0</v>
      </c>
      <c r="J69" s="82">
        <f t="shared" si="18"/>
        <v>10367835.606819673</v>
      </c>
      <c r="O69" s="885">
        <v>4</v>
      </c>
      <c r="P69" s="86">
        <f>+P68-V69</f>
        <v>465027920.60000002</v>
      </c>
      <c r="Q69" s="78">
        <v>0.08</v>
      </c>
      <c r="R69" s="79">
        <v>45541</v>
      </c>
      <c r="S69" s="80">
        <v>45627</v>
      </c>
      <c r="T69" s="92">
        <f>+S69-R69+1</f>
        <v>87</v>
      </c>
      <c r="U69" s="77">
        <v>0</v>
      </c>
      <c r="V69" s="81">
        <v>10000000</v>
      </c>
      <c r="W69" s="81">
        <v>0</v>
      </c>
      <c r="X69" s="82">
        <f t="shared" si="19"/>
        <v>0</v>
      </c>
    </row>
    <row r="70" spans="1:24" ht="24" customHeight="1" thickBot="1" x14ac:dyDescent="0.45">
      <c r="A70" s="807">
        <v>5</v>
      </c>
      <c r="B70" s="86">
        <f>+B69-H70</f>
        <v>463947920.60000002</v>
      </c>
      <c r="C70" s="78">
        <v>0.08</v>
      </c>
      <c r="D70" s="79">
        <v>45643</v>
      </c>
      <c r="E70" s="80">
        <v>45657</v>
      </c>
      <c r="F70" s="92">
        <f>+E70-D70+1</f>
        <v>15</v>
      </c>
      <c r="G70" s="77">
        <f>+B70*C70*F70/366</f>
        <v>1521140.7232786885</v>
      </c>
      <c r="H70" s="81">
        <v>1080000</v>
      </c>
      <c r="I70" s="81">
        <v>0</v>
      </c>
      <c r="J70" s="82">
        <f t="shared" si="18"/>
        <v>1521140.7232786885</v>
      </c>
      <c r="O70" s="885"/>
      <c r="P70" s="86"/>
      <c r="Q70" s="78"/>
      <c r="R70" s="79"/>
      <c r="S70" s="80"/>
      <c r="T70" s="92"/>
      <c r="U70" s="77"/>
      <c r="V70" s="81"/>
      <c r="W70" s="81"/>
      <c r="X70" s="82"/>
    </row>
    <row r="71" spans="1:24" ht="30" customHeight="1" thickBot="1" x14ac:dyDescent="0.45">
      <c r="A71" s="1011" t="s">
        <v>143</v>
      </c>
      <c r="B71" s="1012"/>
      <c r="C71" s="1012"/>
      <c r="D71" s="1012"/>
      <c r="E71" s="1013"/>
      <c r="F71" s="106">
        <f>+SUM(F66:F70)</f>
        <v>366</v>
      </c>
      <c r="G71" s="247">
        <f>+SUM(G66:G70)</f>
        <v>37829293.757289618</v>
      </c>
      <c r="H71" s="257">
        <f>+SUM(H66:H70)</f>
        <v>13080000</v>
      </c>
      <c r="I71" s="106">
        <f>+SUM(I66:I70)</f>
        <v>0</v>
      </c>
      <c r="J71" s="106">
        <f>+SUM(J66:J70)</f>
        <v>37829293.757289618</v>
      </c>
      <c r="O71" s="1011" t="s">
        <v>143</v>
      </c>
      <c r="P71" s="1012"/>
      <c r="Q71" s="1012"/>
      <c r="R71" s="1012"/>
      <c r="S71" s="1013"/>
      <c r="T71" s="106">
        <f>+SUM(T66:T70)</f>
        <v>336</v>
      </c>
      <c r="U71" s="247">
        <f>+SUM(U66:U70)</f>
        <v>0</v>
      </c>
      <c r="V71" s="257">
        <f>+SUM(V66:V70)</f>
        <v>12000000</v>
      </c>
      <c r="W71" s="106">
        <f>+SUM(W66:W70)</f>
        <v>0</v>
      </c>
      <c r="X71" s="106">
        <f>+SUM(X66:X70)</f>
        <v>0</v>
      </c>
    </row>
    <row r="72" spans="1:24" ht="40.5" customHeight="1" thickBot="1" x14ac:dyDescent="0.45">
      <c r="A72" s="999" t="s">
        <v>94</v>
      </c>
      <c r="B72" s="1000"/>
      <c r="C72" s="1000"/>
      <c r="D72" s="1000"/>
      <c r="E72" s="1001"/>
      <c r="F72" s="159">
        <f>F9+F13+F19+F21+F23+F25+F27+F31+F56+F62+F58+F65+F71</f>
        <v>4628</v>
      </c>
      <c r="G72" s="83">
        <f>G9+G13+G19+G21+G23+G25+G27+G31+G56+G62+G58+G65+G71</f>
        <v>475538978.47883272</v>
      </c>
      <c r="H72" s="704">
        <f>H31+H56+H62+H58+H65+H71</f>
        <v>36052079.399999999</v>
      </c>
      <c r="I72" s="85">
        <f>I25+I27+I31+I56+I62+I58+I65+I71</f>
        <v>10893453.220000001</v>
      </c>
      <c r="J72" s="84">
        <f>J9+J13+J19+J21+J23+J25+J27+J31+J56+J58+J62+J65+J71</f>
        <v>464645525.25883281</v>
      </c>
      <c r="O72" s="999" t="s">
        <v>94</v>
      </c>
      <c r="P72" s="1000"/>
      <c r="Q72" s="1000"/>
      <c r="R72" s="1000"/>
      <c r="S72" s="1001"/>
      <c r="T72" s="159">
        <f>T9+T13+T19+T21+T23+T25+T27+T31+T56+T62+T58+T65</f>
        <v>4262</v>
      </c>
      <c r="U72" s="83">
        <f>U9+U13+U19+U21+U23+U25+U27+U31+U56+U62+U58+U65+U71</f>
        <v>282930041.14858419</v>
      </c>
      <c r="V72" s="704">
        <f>V31+V56+V62+V58+V65+V71</f>
        <v>34972079.399999999</v>
      </c>
      <c r="W72" s="85">
        <f>W25+W27+W31+W56+W62+W58+W65+W71</f>
        <v>10893453.220000001</v>
      </c>
      <c r="X72" s="84">
        <f>X9+X13+X19+X21+X23+X25+X27+X31+X56+X58+X62+X65+X71</f>
        <v>272036587.92858422</v>
      </c>
    </row>
    <row r="73" spans="1:24" ht="40.5" customHeight="1" thickBot="1" x14ac:dyDescent="0.45">
      <c r="A73" s="1002" t="s">
        <v>66</v>
      </c>
      <c r="B73" s="1003"/>
      <c r="C73" s="1003"/>
      <c r="D73" s="1003"/>
      <c r="E73" s="1004"/>
      <c r="F73" s="1005">
        <f>+J72+B70</f>
        <v>928593445.85883284</v>
      </c>
      <c r="G73" s="1006"/>
      <c r="H73" s="1006"/>
      <c r="I73" s="1006"/>
      <c r="J73" s="1007"/>
      <c r="O73" s="1043" t="s">
        <v>66</v>
      </c>
      <c r="P73" s="1044"/>
      <c r="Q73" s="1044"/>
      <c r="R73" s="1044"/>
      <c r="S73" s="1045"/>
      <c r="T73" s="1005">
        <f>+X72+P69</f>
        <v>737064508.52858424</v>
      </c>
      <c r="U73" s="1006"/>
      <c r="V73" s="1006"/>
      <c r="W73" s="1006"/>
      <c r="X73" s="1007"/>
    </row>
    <row r="74" spans="1:24" ht="40.5" customHeight="1" thickBot="1" x14ac:dyDescent="0.45">
      <c r="A74" s="834"/>
      <c r="B74" s="835"/>
      <c r="C74" s="836"/>
      <c r="D74" s="837"/>
      <c r="E74" s="838"/>
      <c r="F74" s="1040" t="s">
        <v>148</v>
      </c>
      <c r="G74" s="1041"/>
      <c r="H74" s="1041"/>
      <c r="I74" s="1041"/>
      <c r="J74" s="1042"/>
      <c r="O74" s="834"/>
      <c r="P74" s="835"/>
      <c r="Q74" s="836"/>
      <c r="R74" s="837"/>
      <c r="S74" s="838"/>
      <c r="T74" s="1040" t="s">
        <v>148</v>
      </c>
      <c r="U74" s="1041"/>
      <c r="V74" s="1041"/>
      <c r="W74" s="1041"/>
      <c r="X74" s="1042"/>
    </row>
    <row r="75" spans="1:24" ht="40.5" customHeight="1" x14ac:dyDescent="0.4">
      <c r="G75" s="1039">
        <f>+F73+200000000</f>
        <v>1128593445.8588328</v>
      </c>
      <c r="H75" s="1039"/>
    </row>
  </sheetData>
  <mergeCells count="73">
    <mergeCell ref="G75:H75"/>
    <mergeCell ref="T74:X74"/>
    <mergeCell ref="O65:S65"/>
    <mergeCell ref="O71:S71"/>
    <mergeCell ref="O72:S72"/>
    <mergeCell ref="O73:S73"/>
    <mergeCell ref="T73:X73"/>
    <mergeCell ref="F74:J74"/>
    <mergeCell ref="O27:S27"/>
    <mergeCell ref="O31:S31"/>
    <mergeCell ref="O56:S56"/>
    <mergeCell ref="O58:S58"/>
    <mergeCell ref="O62:S62"/>
    <mergeCell ref="O22:S22"/>
    <mergeCell ref="O23:S23"/>
    <mergeCell ref="O24:S24"/>
    <mergeCell ref="O25:S25"/>
    <mergeCell ref="O26:S26"/>
    <mergeCell ref="O17:S17"/>
    <mergeCell ref="O18:S18"/>
    <mergeCell ref="O19:S19"/>
    <mergeCell ref="O20:S20"/>
    <mergeCell ref="O21:S21"/>
    <mergeCell ref="O9:S9"/>
    <mergeCell ref="O13:S13"/>
    <mergeCell ref="O14:S14"/>
    <mergeCell ref="O15:S15"/>
    <mergeCell ref="O16:S16"/>
    <mergeCell ref="O1:X1"/>
    <mergeCell ref="O2:X2"/>
    <mergeCell ref="O4:O5"/>
    <mergeCell ref="P4:P5"/>
    <mergeCell ref="Q4:Q5"/>
    <mergeCell ref="R4:S5"/>
    <mergeCell ref="T4:T5"/>
    <mergeCell ref="U4:U5"/>
    <mergeCell ref="V4:W4"/>
    <mergeCell ref="X4:X5"/>
    <mergeCell ref="A1:J1"/>
    <mergeCell ref="A2:J2"/>
    <mergeCell ref="A4:A5"/>
    <mergeCell ref="B4:B5"/>
    <mergeCell ref="C4:C5"/>
    <mergeCell ref="D4:E5"/>
    <mergeCell ref="F4:F5"/>
    <mergeCell ref="G4:G5"/>
    <mergeCell ref="H4:I4"/>
    <mergeCell ref="J4:J5"/>
    <mergeCell ref="A23:E23"/>
    <mergeCell ref="A9:E9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56:E56"/>
    <mergeCell ref="A62:E62"/>
    <mergeCell ref="A24:E24"/>
    <mergeCell ref="A25:E25"/>
    <mergeCell ref="A26:E26"/>
    <mergeCell ref="A27:E27"/>
    <mergeCell ref="A31:E31"/>
    <mergeCell ref="A72:E72"/>
    <mergeCell ref="A73:E73"/>
    <mergeCell ref="F73:J73"/>
    <mergeCell ref="A58:E58"/>
    <mergeCell ref="A65:E65"/>
    <mergeCell ref="A71:E71"/>
  </mergeCells>
  <pageMargins left="0.19685039370078741" right="0.19685039370078741" top="0.19685039370078741" bottom="0.23622047244094491" header="0.19685039370078741" footer="0.27559055118110237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tabColor rgb="FF7030A0"/>
  </sheetPr>
  <dimension ref="A1:I10"/>
  <sheetViews>
    <sheetView zoomScaleNormal="100" zoomScaleSheetLayoutView="85" zoomScalePageLayoutView="60" workbookViewId="0">
      <selection activeCell="C8" sqref="C8"/>
    </sheetView>
  </sheetViews>
  <sheetFormatPr defaultRowHeight="14.25" x14ac:dyDescent="0.2"/>
  <cols>
    <col min="1" max="1" width="6.140625" style="557" customWidth="1"/>
    <col min="2" max="2" width="41.7109375" style="3" customWidth="1"/>
    <col min="3" max="3" width="22.7109375" style="557" customWidth="1"/>
    <col min="4" max="4" width="10.5703125" style="557" customWidth="1"/>
    <col min="5" max="5" width="4.7109375" style="557" customWidth="1"/>
    <col min="6" max="6" width="23.42578125" style="557" customWidth="1"/>
    <col min="7" max="7" width="20" style="557" customWidth="1"/>
    <col min="8" max="8" width="19" style="557" customWidth="1"/>
    <col min="9" max="9" width="24" style="557" customWidth="1"/>
    <col min="10" max="10" width="15.28515625" style="557" customWidth="1"/>
    <col min="11" max="16384" width="9.140625" style="557"/>
  </cols>
  <sheetData>
    <row r="1" spans="1:9" s="122" customFormat="1" ht="56.25" customHeight="1" x14ac:dyDescent="0.25">
      <c r="A1" s="1232" t="s">
        <v>196</v>
      </c>
      <c r="B1" s="1232"/>
      <c r="C1" s="1232"/>
      <c r="D1" s="1232"/>
      <c r="E1" s="1232"/>
      <c r="F1" s="1232"/>
      <c r="G1" s="1232"/>
      <c r="H1" s="1232"/>
      <c r="I1" s="1232"/>
    </row>
    <row r="2" spans="1:9" ht="21.75" customHeight="1" x14ac:dyDescent="0.2">
      <c r="A2" s="1144" t="s">
        <v>91</v>
      </c>
      <c r="B2" s="1144"/>
      <c r="C2" s="1144"/>
      <c r="D2" s="1144"/>
      <c r="E2" s="1144"/>
      <c r="F2" s="1144"/>
      <c r="G2" s="1144"/>
      <c r="H2" s="1144"/>
      <c r="I2" s="1144"/>
    </row>
    <row r="3" spans="1:9" s="409" customFormat="1" ht="51" customHeight="1" thickBot="1" x14ac:dyDescent="0.3">
      <c r="A3" s="533" t="s">
        <v>15</v>
      </c>
      <c r="B3" s="533" t="s">
        <v>0</v>
      </c>
      <c r="C3" s="533" t="s">
        <v>25</v>
      </c>
      <c r="D3" s="1192" t="s">
        <v>18</v>
      </c>
      <c r="E3" s="1193"/>
      <c r="F3" s="533" t="s">
        <v>135</v>
      </c>
      <c r="G3" s="533" t="s">
        <v>99</v>
      </c>
      <c r="H3" s="533" t="s">
        <v>147</v>
      </c>
      <c r="I3" s="533" t="s">
        <v>188</v>
      </c>
    </row>
    <row r="4" spans="1:9" ht="51.75" customHeight="1" x14ac:dyDescent="0.2">
      <c r="A4" s="534">
        <v>1</v>
      </c>
      <c r="B4" s="535" t="s">
        <v>5</v>
      </c>
      <c r="C4" s="537">
        <f>500000000/1000</f>
        <v>500000</v>
      </c>
      <c r="D4" s="1160" t="s">
        <v>7</v>
      </c>
      <c r="E4" s="1161"/>
      <c r="F4" s="538">
        <v>477027.92060000001</v>
      </c>
      <c r="G4" s="538">
        <v>1000</v>
      </c>
      <c r="H4" s="539">
        <v>0</v>
      </c>
      <c r="I4" s="540">
        <f>+F4-G4</f>
        <v>476027.92060000001</v>
      </c>
    </row>
    <row r="5" spans="1:9" ht="47.25" customHeight="1" x14ac:dyDescent="0.2">
      <c r="A5" s="235">
        <v>2</v>
      </c>
      <c r="B5" s="236" t="s">
        <v>125</v>
      </c>
      <c r="C5" s="129">
        <v>2250000</v>
      </c>
      <c r="D5" s="1156">
        <v>0.02</v>
      </c>
      <c r="E5" s="1157"/>
      <c r="F5" s="413">
        <v>2012961.9251400002</v>
      </c>
      <c r="G5" s="561">
        <v>23512.54653</v>
      </c>
      <c r="H5" s="416">
        <v>7663.6935199999998</v>
      </c>
      <c r="I5" s="357">
        <f>+F5-G5</f>
        <v>1989449.3786100002</v>
      </c>
    </row>
    <row r="6" spans="1:9" ht="38.25" customHeight="1" x14ac:dyDescent="0.2">
      <c r="A6" s="235">
        <v>3</v>
      </c>
      <c r="B6" s="236" t="s">
        <v>126</v>
      </c>
      <c r="C6" s="129">
        <v>1070000</v>
      </c>
      <c r="D6" s="1156">
        <v>0.02</v>
      </c>
      <c r="E6" s="1157"/>
      <c r="F6" s="413">
        <v>822540.31874999998</v>
      </c>
      <c r="G6" s="561">
        <v>16370.09252</v>
      </c>
      <c r="H6" s="416">
        <v>7663.6935199999998</v>
      </c>
      <c r="I6" s="357">
        <f>+F6-G6</f>
        <v>806170.22623000003</v>
      </c>
    </row>
    <row r="7" spans="1:9" ht="36" customHeight="1" x14ac:dyDescent="0.2">
      <c r="A7" s="235">
        <v>4</v>
      </c>
      <c r="B7" s="236" t="s">
        <v>19</v>
      </c>
      <c r="C7" s="129">
        <f>200000000/1000</f>
        <v>200000</v>
      </c>
      <c r="D7" s="1162" t="s">
        <v>12</v>
      </c>
      <c r="E7" s="1163"/>
      <c r="F7" s="355">
        <v>200000</v>
      </c>
      <c r="G7" s="323">
        <v>0</v>
      </c>
      <c r="H7" s="323">
        <v>0</v>
      </c>
      <c r="I7" s="357">
        <f>+F7-G7</f>
        <v>200000</v>
      </c>
    </row>
    <row r="8" spans="1:9" ht="51.75" customHeight="1" x14ac:dyDescent="0.2">
      <c r="A8" s="235">
        <v>5</v>
      </c>
      <c r="B8" s="239" t="s">
        <v>170</v>
      </c>
      <c r="C8" s="130">
        <v>1165000</v>
      </c>
      <c r="D8" s="1156">
        <v>0.02</v>
      </c>
      <c r="E8" s="1157"/>
      <c r="F8" s="414">
        <v>741000</v>
      </c>
      <c r="G8" s="358">
        <v>35000</v>
      </c>
      <c r="H8" s="413">
        <v>168.42972</v>
      </c>
      <c r="I8" s="357">
        <f>+F8-G8</f>
        <v>706000</v>
      </c>
    </row>
    <row r="9" spans="1:9" s="409" customFormat="1" ht="30" customHeight="1" thickBot="1" x14ac:dyDescent="0.3">
      <c r="A9" s="1190" t="s">
        <v>23</v>
      </c>
      <c r="B9" s="1191"/>
      <c r="C9" s="541">
        <f>+SUM(C4:C8)</f>
        <v>5185000</v>
      </c>
      <c r="D9" s="546"/>
      <c r="E9" s="547"/>
      <c r="F9" s="541">
        <f>+SUM(F4:F8)</f>
        <v>4253530.1644900003</v>
      </c>
      <c r="G9" s="541">
        <f>+SUM(G4:G8)</f>
        <v>75882.639049999998</v>
      </c>
      <c r="H9" s="541">
        <f>+SUM(H4:H8)</f>
        <v>15495.81676</v>
      </c>
      <c r="I9" s="541">
        <f>+SUM(I4:I8)</f>
        <v>4177647.5254400005</v>
      </c>
    </row>
    <row r="10" spans="1:9" ht="30.75" customHeight="1" x14ac:dyDescent="0.2">
      <c r="G10" s="571">
        <f>+G9+H9</f>
        <v>91378.455809999999</v>
      </c>
      <c r="H10" s="572">
        <f>+H5+H6+H8</f>
        <v>15495.81676</v>
      </c>
      <c r="I10" s="570">
        <f>+H5+H6+G8+H8</f>
        <v>50495.816760000002</v>
      </c>
    </row>
  </sheetData>
  <mergeCells count="9">
    <mergeCell ref="D7:E7"/>
    <mergeCell ref="D8:E8"/>
    <mergeCell ref="A9:B9"/>
    <mergeCell ref="A1:I1"/>
    <mergeCell ref="A2:I2"/>
    <mergeCell ref="D3:E3"/>
    <mergeCell ref="D4:E4"/>
    <mergeCell ref="D5:E5"/>
    <mergeCell ref="D6:E6"/>
  </mergeCells>
  <pageMargins left="0.27559055118110237" right="0.15748031496062992" top="0.74803149606299213" bottom="0.19685039370078741" header="0.19685039370078741" footer="0.19685039370078741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3">
    <tabColor theme="2" tint="-0.499984740745262"/>
  </sheetPr>
  <dimension ref="A1:IR76"/>
  <sheetViews>
    <sheetView zoomScaleNormal="100" zoomScaleSheetLayoutView="70" workbookViewId="0">
      <selection activeCell="B77" sqref="B77"/>
    </sheetView>
  </sheetViews>
  <sheetFormatPr defaultRowHeight="40.5" customHeight="1" x14ac:dyDescent="0.4"/>
  <cols>
    <col min="1" max="1" width="6" style="22" customWidth="1"/>
    <col min="2" max="2" width="30.5703125" style="22" customWidth="1"/>
    <col min="3" max="3" width="29.42578125" style="22" customWidth="1"/>
    <col min="4" max="5" width="21.28515625" style="22" customWidth="1"/>
    <col min="6" max="6" width="20.28515625" style="22" customWidth="1"/>
    <col min="7" max="7" width="27.42578125" style="22" customWidth="1"/>
    <col min="8" max="8" width="28.42578125" style="22" customWidth="1"/>
    <col min="9" max="9" width="25.42578125" style="22" customWidth="1"/>
    <col min="10" max="10" width="27.7109375" style="22" customWidth="1"/>
    <col min="11" max="252" width="9.140625" style="22"/>
    <col min="253" max="253" width="6" style="22" customWidth="1"/>
    <col min="254" max="254" width="25.42578125" style="22" customWidth="1"/>
    <col min="255" max="255" width="26.140625" style="22" customWidth="1"/>
    <col min="256" max="256" width="14.85546875" style="22" customWidth="1"/>
    <col min="257" max="257" width="14.5703125" style="22" customWidth="1"/>
    <col min="258" max="258" width="15.28515625" style="22" customWidth="1"/>
    <col min="259" max="260" width="27.42578125" style="22" customWidth="1"/>
    <col min="261" max="261" width="25.42578125" style="22" customWidth="1"/>
    <col min="262" max="262" width="27.7109375" style="22" customWidth="1"/>
    <col min="263" max="263" width="25.42578125" style="22" bestFit="1" customWidth="1"/>
    <col min="264" max="508" width="9.140625" style="22"/>
    <col min="509" max="509" width="6" style="22" customWidth="1"/>
    <col min="510" max="510" width="25.42578125" style="22" customWidth="1"/>
    <col min="511" max="511" width="26.140625" style="22" customWidth="1"/>
    <col min="512" max="512" width="14.85546875" style="22" customWidth="1"/>
    <col min="513" max="513" width="14.5703125" style="22" customWidth="1"/>
    <col min="514" max="514" width="15.28515625" style="22" customWidth="1"/>
    <col min="515" max="516" width="27.42578125" style="22" customWidth="1"/>
    <col min="517" max="517" width="25.42578125" style="22" customWidth="1"/>
    <col min="518" max="518" width="27.7109375" style="22" customWidth="1"/>
    <col min="519" max="519" width="25.42578125" style="22" bestFit="1" customWidth="1"/>
    <col min="520" max="764" width="9.140625" style="22"/>
    <col min="765" max="765" width="6" style="22" customWidth="1"/>
    <col min="766" max="766" width="25.42578125" style="22" customWidth="1"/>
    <col min="767" max="767" width="26.140625" style="22" customWidth="1"/>
    <col min="768" max="768" width="14.85546875" style="22" customWidth="1"/>
    <col min="769" max="769" width="14.5703125" style="22" customWidth="1"/>
    <col min="770" max="770" width="15.28515625" style="22" customWidth="1"/>
    <col min="771" max="772" width="27.42578125" style="22" customWidth="1"/>
    <col min="773" max="773" width="25.42578125" style="22" customWidth="1"/>
    <col min="774" max="774" width="27.7109375" style="22" customWidth="1"/>
    <col min="775" max="775" width="25.42578125" style="22" bestFit="1" customWidth="1"/>
    <col min="776" max="1020" width="9.140625" style="22"/>
    <col min="1021" max="1021" width="6" style="22" customWidth="1"/>
    <col min="1022" max="1022" width="25.42578125" style="22" customWidth="1"/>
    <col min="1023" max="1023" width="26.140625" style="22" customWidth="1"/>
    <col min="1024" max="1024" width="14.85546875" style="22" customWidth="1"/>
    <col min="1025" max="1025" width="14.5703125" style="22" customWidth="1"/>
    <col min="1026" max="1026" width="15.28515625" style="22" customWidth="1"/>
    <col min="1027" max="1028" width="27.42578125" style="22" customWidth="1"/>
    <col min="1029" max="1029" width="25.42578125" style="22" customWidth="1"/>
    <col min="1030" max="1030" width="27.7109375" style="22" customWidth="1"/>
    <col min="1031" max="1031" width="25.42578125" style="22" bestFit="1" customWidth="1"/>
    <col min="1032" max="1276" width="9.140625" style="22"/>
    <col min="1277" max="1277" width="6" style="22" customWidth="1"/>
    <col min="1278" max="1278" width="25.42578125" style="22" customWidth="1"/>
    <col min="1279" max="1279" width="26.140625" style="22" customWidth="1"/>
    <col min="1280" max="1280" width="14.85546875" style="22" customWidth="1"/>
    <col min="1281" max="1281" width="14.5703125" style="22" customWidth="1"/>
    <col min="1282" max="1282" width="15.28515625" style="22" customWidth="1"/>
    <col min="1283" max="1284" width="27.42578125" style="22" customWidth="1"/>
    <col min="1285" max="1285" width="25.42578125" style="22" customWidth="1"/>
    <col min="1286" max="1286" width="27.7109375" style="22" customWidth="1"/>
    <col min="1287" max="1287" width="25.42578125" style="22" bestFit="1" customWidth="1"/>
    <col min="1288" max="1532" width="9.140625" style="22"/>
    <col min="1533" max="1533" width="6" style="22" customWidth="1"/>
    <col min="1534" max="1534" width="25.42578125" style="22" customWidth="1"/>
    <col min="1535" max="1535" width="26.140625" style="22" customWidth="1"/>
    <col min="1536" max="1536" width="14.85546875" style="22" customWidth="1"/>
    <col min="1537" max="1537" width="14.5703125" style="22" customWidth="1"/>
    <col min="1538" max="1538" width="15.28515625" style="22" customWidth="1"/>
    <col min="1539" max="1540" width="27.42578125" style="22" customWidth="1"/>
    <col min="1541" max="1541" width="25.42578125" style="22" customWidth="1"/>
    <col min="1542" max="1542" width="27.7109375" style="22" customWidth="1"/>
    <col min="1543" max="1543" width="25.42578125" style="22" bestFit="1" customWidth="1"/>
    <col min="1544" max="1788" width="9.140625" style="22"/>
    <col min="1789" max="1789" width="6" style="22" customWidth="1"/>
    <col min="1790" max="1790" width="25.42578125" style="22" customWidth="1"/>
    <col min="1791" max="1791" width="26.140625" style="22" customWidth="1"/>
    <col min="1792" max="1792" width="14.85546875" style="22" customWidth="1"/>
    <col min="1793" max="1793" width="14.5703125" style="22" customWidth="1"/>
    <col min="1794" max="1794" width="15.28515625" style="22" customWidth="1"/>
    <col min="1795" max="1796" width="27.42578125" style="22" customWidth="1"/>
    <col min="1797" max="1797" width="25.42578125" style="22" customWidth="1"/>
    <col min="1798" max="1798" width="27.7109375" style="22" customWidth="1"/>
    <col min="1799" max="1799" width="25.42578125" style="22" bestFit="1" customWidth="1"/>
    <col min="1800" max="2044" width="9.140625" style="22"/>
    <col min="2045" max="2045" width="6" style="22" customWidth="1"/>
    <col min="2046" max="2046" width="25.42578125" style="22" customWidth="1"/>
    <col min="2047" max="2047" width="26.140625" style="22" customWidth="1"/>
    <col min="2048" max="2048" width="14.85546875" style="22" customWidth="1"/>
    <col min="2049" max="2049" width="14.5703125" style="22" customWidth="1"/>
    <col min="2050" max="2050" width="15.28515625" style="22" customWidth="1"/>
    <col min="2051" max="2052" width="27.42578125" style="22" customWidth="1"/>
    <col min="2053" max="2053" width="25.42578125" style="22" customWidth="1"/>
    <col min="2054" max="2054" width="27.7109375" style="22" customWidth="1"/>
    <col min="2055" max="2055" width="25.42578125" style="22" bestFit="1" customWidth="1"/>
    <col min="2056" max="2300" width="9.140625" style="22"/>
    <col min="2301" max="2301" width="6" style="22" customWidth="1"/>
    <col min="2302" max="2302" width="25.42578125" style="22" customWidth="1"/>
    <col min="2303" max="2303" width="26.140625" style="22" customWidth="1"/>
    <col min="2304" max="2304" width="14.85546875" style="22" customWidth="1"/>
    <col min="2305" max="2305" width="14.5703125" style="22" customWidth="1"/>
    <col min="2306" max="2306" width="15.28515625" style="22" customWidth="1"/>
    <col min="2307" max="2308" width="27.42578125" style="22" customWidth="1"/>
    <col min="2309" max="2309" width="25.42578125" style="22" customWidth="1"/>
    <col min="2310" max="2310" width="27.7109375" style="22" customWidth="1"/>
    <col min="2311" max="2311" width="25.42578125" style="22" bestFit="1" customWidth="1"/>
    <col min="2312" max="2556" width="9.140625" style="22"/>
    <col min="2557" max="2557" width="6" style="22" customWidth="1"/>
    <col min="2558" max="2558" width="25.42578125" style="22" customWidth="1"/>
    <col min="2559" max="2559" width="26.140625" style="22" customWidth="1"/>
    <col min="2560" max="2560" width="14.85546875" style="22" customWidth="1"/>
    <col min="2561" max="2561" width="14.5703125" style="22" customWidth="1"/>
    <col min="2562" max="2562" width="15.28515625" style="22" customWidth="1"/>
    <col min="2563" max="2564" width="27.42578125" style="22" customWidth="1"/>
    <col min="2565" max="2565" width="25.42578125" style="22" customWidth="1"/>
    <col min="2566" max="2566" width="27.7109375" style="22" customWidth="1"/>
    <col min="2567" max="2567" width="25.42578125" style="22" bestFit="1" customWidth="1"/>
    <col min="2568" max="2812" width="9.140625" style="22"/>
    <col min="2813" max="2813" width="6" style="22" customWidth="1"/>
    <col min="2814" max="2814" width="25.42578125" style="22" customWidth="1"/>
    <col min="2815" max="2815" width="26.140625" style="22" customWidth="1"/>
    <col min="2816" max="2816" width="14.85546875" style="22" customWidth="1"/>
    <col min="2817" max="2817" width="14.5703125" style="22" customWidth="1"/>
    <col min="2818" max="2818" width="15.28515625" style="22" customWidth="1"/>
    <col min="2819" max="2820" width="27.42578125" style="22" customWidth="1"/>
    <col min="2821" max="2821" width="25.42578125" style="22" customWidth="1"/>
    <col min="2822" max="2822" width="27.7109375" style="22" customWidth="1"/>
    <col min="2823" max="2823" width="25.42578125" style="22" bestFit="1" customWidth="1"/>
    <col min="2824" max="3068" width="9.140625" style="22"/>
    <col min="3069" max="3069" width="6" style="22" customWidth="1"/>
    <col min="3070" max="3070" width="25.42578125" style="22" customWidth="1"/>
    <col min="3071" max="3071" width="26.140625" style="22" customWidth="1"/>
    <col min="3072" max="3072" width="14.85546875" style="22" customWidth="1"/>
    <col min="3073" max="3073" width="14.5703125" style="22" customWidth="1"/>
    <col min="3074" max="3074" width="15.28515625" style="22" customWidth="1"/>
    <col min="3075" max="3076" width="27.42578125" style="22" customWidth="1"/>
    <col min="3077" max="3077" width="25.42578125" style="22" customWidth="1"/>
    <col min="3078" max="3078" width="27.7109375" style="22" customWidth="1"/>
    <col min="3079" max="3079" width="25.42578125" style="22" bestFit="1" customWidth="1"/>
    <col min="3080" max="3324" width="9.140625" style="22"/>
    <col min="3325" max="3325" width="6" style="22" customWidth="1"/>
    <col min="3326" max="3326" width="25.42578125" style="22" customWidth="1"/>
    <col min="3327" max="3327" width="26.140625" style="22" customWidth="1"/>
    <col min="3328" max="3328" width="14.85546875" style="22" customWidth="1"/>
    <col min="3329" max="3329" width="14.5703125" style="22" customWidth="1"/>
    <col min="3330" max="3330" width="15.28515625" style="22" customWidth="1"/>
    <col min="3331" max="3332" width="27.42578125" style="22" customWidth="1"/>
    <col min="3333" max="3333" width="25.42578125" style="22" customWidth="1"/>
    <col min="3334" max="3334" width="27.7109375" style="22" customWidth="1"/>
    <col min="3335" max="3335" width="25.42578125" style="22" bestFit="1" customWidth="1"/>
    <col min="3336" max="3580" width="9.140625" style="22"/>
    <col min="3581" max="3581" width="6" style="22" customWidth="1"/>
    <col min="3582" max="3582" width="25.42578125" style="22" customWidth="1"/>
    <col min="3583" max="3583" width="26.140625" style="22" customWidth="1"/>
    <col min="3584" max="3584" width="14.85546875" style="22" customWidth="1"/>
    <col min="3585" max="3585" width="14.5703125" style="22" customWidth="1"/>
    <col min="3586" max="3586" width="15.28515625" style="22" customWidth="1"/>
    <col min="3587" max="3588" width="27.42578125" style="22" customWidth="1"/>
    <col min="3589" max="3589" width="25.42578125" style="22" customWidth="1"/>
    <col min="3590" max="3590" width="27.7109375" style="22" customWidth="1"/>
    <col min="3591" max="3591" width="25.42578125" style="22" bestFit="1" customWidth="1"/>
    <col min="3592" max="3836" width="9.140625" style="22"/>
    <col min="3837" max="3837" width="6" style="22" customWidth="1"/>
    <col min="3838" max="3838" width="25.42578125" style="22" customWidth="1"/>
    <col min="3839" max="3839" width="26.140625" style="22" customWidth="1"/>
    <col min="3840" max="3840" width="14.85546875" style="22" customWidth="1"/>
    <col min="3841" max="3841" width="14.5703125" style="22" customWidth="1"/>
    <col min="3842" max="3842" width="15.28515625" style="22" customWidth="1"/>
    <col min="3843" max="3844" width="27.42578125" style="22" customWidth="1"/>
    <col min="3845" max="3845" width="25.42578125" style="22" customWidth="1"/>
    <col min="3846" max="3846" width="27.7109375" style="22" customWidth="1"/>
    <col min="3847" max="3847" width="25.42578125" style="22" bestFit="1" customWidth="1"/>
    <col min="3848" max="4092" width="9.140625" style="22"/>
    <col min="4093" max="4093" width="6" style="22" customWidth="1"/>
    <col min="4094" max="4094" width="25.42578125" style="22" customWidth="1"/>
    <col min="4095" max="4095" width="26.140625" style="22" customWidth="1"/>
    <col min="4096" max="4096" width="14.85546875" style="22" customWidth="1"/>
    <col min="4097" max="4097" width="14.5703125" style="22" customWidth="1"/>
    <col min="4098" max="4098" width="15.28515625" style="22" customWidth="1"/>
    <col min="4099" max="4100" width="27.42578125" style="22" customWidth="1"/>
    <col min="4101" max="4101" width="25.42578125" style="22" customWidth="1"/>
    <col min="4102" max="4102" width="27.7109375" style="22" customWidth="1"/>
    <col min="4103" max="4103" width="25.42578125" style="22" bestFit="1" customWidth="1"/>
    <col min="4104" max="4348" width="9.140625" style="22"/>
    <col min="4349" max="4349" width="6" style="22" customWidth="1"/>
    <col min="4350" max="4350" width="25.42578125" style="22" customWidth="1"/>
    <col min="4351" max="4351" width="26.140625" style="22" customWidth="1"/>
    <col min="4352" max="4352" width="14.85546875" style="22" customWidth="1"/>
    <col min="4353" max="4353" width="14.5703125" style="22" customWidth="1"/>
    <col min="4354" max="4354" width="15.28515625" style="22" customWidth="1"/>
    <col min="4355" max="4356" width="27.42578125" style="22" customWidth="1"/>
    <col min="4357" max="4357" width="25.42578125" style="22" customWidth="1"/>
    <col min="4358" max="4358" width="27.7109375" style="22" customWidth="1"/>
    <col min="4359" max="4359" width="25.42578125" style="22" bestFit="1" customWidth="1"/>
    <col min="4360" max="4604" width="9.140625" style="22"/>
    <col min="4605" max="4605" width="6" style="22" customWidth="1"/>
    <col min="4606" max="4606" width="25.42578125" style="22" customWidth="1"/>
    <col min="4607" max="4607" width="26.140625" style="22" customWidth="1"/>
    <col min="4608" max="4608" width="14.85546875" style="22" customWidth="1"/>
    <col min="4609" max="4609" width="14.5703125" style="22" customWidth="1"/>
    <col min="4610" max="4610" width="15.28515625" style="22" customWidth="1"/>
    <col min="4611" max="4612" width="27.42578125" style="22" customWidth="1"/>
    <col min="4613" max="4613" width="25.42578125" style="22" customWidth="1"/>
    <col min="4614" max="4614" width="27.7109375" style="22" customWidth="1"/>
    <col min="4615" max="4615" width="25.42578125" style="22" bestFit="1" customWidth="1"/>
    <col min="4616" max="4860" width="9.140625" style="22"/>
    <col min="4861" max="4861" width="6" style="22" customWidth="1"/>
    <col min="4862" max="4862" width="25.42578125" style="22" customWidth="1"/>
    <col min="4863" max="4863" width="26.140625" style="22" customWidth="1"/>
    <col min="4864" max="4864" width="14.85546875" style="22" customWidth="1"/>
    <col min="4865" max="4865" width="14.5703125" style="22" customWidth="1"/>
    <col min="4866" max="4866" width="15.28515625" style="22" customWidth="1"/>
    <col min="4867" max="4868" width="27.42578125" style="22" customWidth="1"/>
    <col min="4869" max="4869" width="25.42578125" style="22" customWidth="1"/>
    <col min="4870" max="4870" width="27.7109375" style="22" customWidth="1"/>
    <col min="4871" max="4871" width="25.42578125" style="22" bestFit="1" customWidth="1"/>
    <col min="4872" max="5116" width="9.140625" style="22"/>
    <col min="5117" max="5117" width="6" style="22" customWidth="1"/>
    <col min="5118" max="5118" width="25.42578125" style="22" customWidth="1"/>
    <col min="5119" max="5119" width="26.140625" style="22" customWidth="1"/>
    <col min="5120" max="5120" width="14.85546875" style="22" customWidth="1"/>
    <col min="5121" max="5121" width="14.5703125" style="22" customWidth="1"/>
    <col min="5122" max="5122" width="15.28515625" style="22" customWidth="1"/>
    <col min="5123" max="5124" width="27.42578125" style="22" customWidth="1"/>
    <col min="5125" max="5125" width="25.42578125" style="22" customWidth="1"/>
    <col min="5126" max="5126" width="27.7109375" style="22" customWidth="1"/>
    <col min="5127" max="5127" width="25.42578125" style="22" bestFit="1" customWidth="1"/>
    <col min="5128" max="5372" width="9.140625" style="22"/>
    <col min="5373" max="5373" width="6" style="22" customWidth="1"/>
    <col min="5374" max="5374" width="25.42578125" style="22" customWidth="1"/>
    <col min="5375" max="5375" width="26.140625" style="22" customWidth="1"/>
    <col min="5376" max="5376" width="14.85546875" style="22" customWidth="1"/>
    <col min="5377" max="5377" width="14.5703125" style="22" customWidth="1"/>
    <col min="5378" max="5378" width="15.28515625" style="22" customWidth="1"/>
    <col min="5379" max="5380" width="27.42578125" style="22" customWidth="1"/>
    <col min="5381" max="5381" width="25.42578125" style="22" customWidth="1"/>
    <col min="5382" max="5382" width="27.7109375" style="22" customWidth="1"/>
    <col min="5383" max="5383" width="25.42578125" style="22" bestFit="1" customWidth="1"/>
    <col min="5384" max="5628" width="9.140625" style="22"/>
    <col min="5629" max="5629" width="6" style="22" customWidth="1"/>
    <col min="5630" max="5630" width="25.42578125" style="22" customWidth="1"/>
    <col min="5631" max="5631" width="26.140625" style="22" customWidth="1"/>
    <col min="5632" max="5632" width="14.85546875" style="22" customWidth="1"/>
    <col min="5633" max="5633" width="14.5703125" style="22" customWidth="1"/>
    <col min="5634" max="5634" width="15.28515625" style="22" customWidth="1"/>
    <col min="5635" max="5636" width="27.42578125" style="22" customWidth="1"/>
    <col min="5637" max="5637" width="25.42578125" style="22" customWidth="1"/>
    <col min="5638" max="5638" width="27.7109375" style="22" customWidth="1"/>
    <col min="5639" max="5639" width="25.42578125" style="22" bestFit="1" customWidth="1"/>
    <col min="5640" max="5884" width="9.140625" style="22"/>
    <col min="5885" max="5885" width="6" style="22" customWidth="1"/>
    <col min="5886" max="5886" width="25.42578125" style="22" customWidth="1"/>
    <col min="5887" max="5887" width="26.140625" style="22" customWidth="1"/>
    <col min="5888" max="5888" width="14.85546875" style="22" customWidth="1"/>
    <col min="5889" max="5889" width="14.5703125" style="22" customWidth="1"/>
    <col min="5890" max="5890" width="15.28515625" style="22" customWidth="1"/>
    <col min="5891" max="5892" width="27.42578125" style="22" customWidth="1"/>
    <col min="5893" max="5893" width="25.42578125" style="22" customWidth="1"/>
    <col min="5894" max="5894" width="27.7109375" style="22" customWidth="1"/>
    <col min="5895" max="5895" width="25.42578125" style="22" bestFit="1" customWidth="1"/>
    <col min="5896" max="6140" width="9.140625" style="22"/>
    <col min="6141" max="6141" width="6" style="22" customWidth="1"/>
    <col min="6142" max="6142" width="25.42578125" style="22" customWidth="1"/>
    <col min="6143" max="6143" width="26.140625" style="22" customWidth="1"/>
    <col min="6144" max="6144" width="14.85546875" style="22" customWidth="1"/>
    <col min="6145" max="6145" width="14.5703125" style="22" customWidth="1"/>
    <col min="6146" max="6146" width="15.28515625" style="22" customWidth="1"/>
    <col min="6147" max="6148" width="27.42578125" style="22" customWidth="1"/>
    <col min="6149" max="6149" width="25.42578125" style="22" customWidth="1"/>
    <col min="6150" max="6150" width="27.7109375" style="22" customWidth="1"/>
    <col min="6151" max="6151" width="25.42578125" style="22" bestFit="1" customWidth="1"/>
    <col min="6152" max="6396" width="9.140625" style="22"/>
    <col min="6397" max="6397" width="6" style="22" customWidth="1"/>
    <col min="6398" max="6398" width="25.42578125" style="22" customWidth="1"/>
    <col min="6399" max="6399" width="26.140625" style="22" customWidth="1"/>
    <col min="6400" max="6400" width="14.85546875" style="22" customWidth="1"/>
    <col min="6401" max="6401" width="14.5703125" style="22" customWidth="1"/>
    <col min="6402" max="6402" width="15.28515625" style="22" customWidth="1"/>
    <col min="6403" max="6404" width="27.42578125" style="22" customWidth="1"/>
    <col min="6405" max="6405" width="25.42578125" style="22" customWidth="1"/>
    <col min="6406" max="6406" width="27.7109375" style="22" customWidth="1"/>
    <col min="6407" max="6407" width="25.42578125" style="22" bestFit="1" customWidth="1"/>
    <col min="6408" max="6652" width="9.140625" style="22"/>
    <col min="6653" max="6653" width="6" style="22" customWidth="1"/>
    <col min="6654" max="6654" width="25.42578125" style="22" customWidth="1"/>
    <col min="6655" max="6655" width="26.140625" style="22" customWidth="1"/>
    <col min="6656" max="6656" width="14.85546875" style="22" customWidth="1"/>
    <col min="6657" max="6657" width="14.5703125" style="22" customWidth="1"/>
    <col min="6658" max="6658" width="15.28515625" style="22" customWidth="1"/>
    <col min="6659" max="6660" width="27.42578125" style="22" customWidth="1"/>
    <col min="6661" max="6661" width="25.42578125" style="22" customWidth="1"/>
    <col min="6662" max="6662" width="27.7109375" style="22" customWidth="1"/>
    <col min="6663" max="6663" width="25.42578125" style="22" bestFit="1" customWidth="1"/>
    <col min="6664" max="6908" width="9.140625" style="22"/>
    <col min="6909" max="6909" width="6" style="22" customWidth="1"/>
    <col min="6910" max="6910" width="25.42578125" style="22" customWidth="1"/>
    <col min="6911" max="6911" width="26.140625" style="22" customWidth="1"/>
    <col min="6912" max="6912" width="14.85546875" style="22" customWidth="1"/>
    <col min="6913" max="6913" width="14.5703125" style="22" customWidth="1"/>
    <col min="6914" max="6914" width="15.28515625" style="22" customWidth="1"/>
    <col min="6915" max="6916" width="27.42578125" style="22" customWidth="1"/>
    <col min="6917" max="6917" width="25.42578125" style="22" customWidth="1"/>
    <col min="6918" max="6918" width="27.7109375" style="22" customWidth="1"/>
    <col min="6919" max="6919" width="25.42578125" style="22" bestFit="1" customWidth="1"/>
    <col min="6920" max="7164" width="9.140625" style="22"/>
    <col min="7165" max="7165" width="6" style="22" customWidth="1"/>
    <col min="7166" max="7166" width="25.42578125" style="22" customWidth="1"/>
    <col min="7167" max="7167" width="26.140625" style="22" customWidth="1"/>
    <col min="7168" max="7168" width="14.85546875" style="22" customWidth="1"/>
    <col min="7169" max="7169" width="14.5703125" style="22" customWidth="1"/>
    <col min="7170" max="7170" width="15.28515625" style="22" customWidth="1"/>
    <col min="7171" max="7172" width="27.42578125" style="22" customWidth="1"/>
    <col min="7173" max="7173" width="25.42578125" style="22" customWidth="1"/>
    <col min="7174" max="7174" width="27.7109375" style="22" customWidth="1"/>
    <col min="7175" max="7175" width="25.42578125" style="22" bestFit="1" customWidth="1"/>
    <col min="7176" max="7420" width="9.140625" style="22"/>
    <col min="7421" max="7421" width="6" style="22" customWidth="1"/>
    <col min="7422" max="7422" width="25.42578125" style="22" customWidth="1"/>
    <col min="7423" max="7423" width="26.140625" style="22" customWidth="1"/>
    <col min="7424" max="7424" width="14.85546875" style="22" customWidth="1"/>
    <col min="7425" max="7425" width="14.5703125" style="22" customWidth="1"/>
    <col min="7426" max="7426" width="15.28515625" style="22" customWidth="1"/>
    <col min="7427" max="7428" width="27.42578125" style="22" customWidth="1"/>
    <col min="7429" max="7429" width="25.42578125" style="22" customWidth="1"/>
    <col min="7430" max="7430" width="27.7109375" style="22" customWidth="1"/>
    <col min="7431" max="7431" width="25.42578125" style="22" bestFit="1" customWidth="1"/>
    <col min="7432" max="7676" width="9.140625" style="22"/>
    <col min="7677" max="7677" width="6" style="22" customWidth="1"/>
    <col min="7678" max="7678" width="25.42578125" style="22" customWidth="1"/>
    <col min="7679" max="7679" width="26.140625" style="22" customWidth="1"/>
    <col min="7680" max="7680" width="14.85546875" style="22" customWidth="1"/>
    <col min="7681" max="7681" width="14.5703125" style="22" customWidth="1"/>
    <col min="7682" max="7682" width="15.28515625" style="22" customWidth="1"/>
    <col min="7683" max="7684" width="27.42578125" style="22" customWidth="1"/>
    <col min="7685" max="7685" width="25.42578125" style="22" customWidth="1"/>
    <col min="7686" max="7686" width="27.7109375" style="22" customWidth="1"/>
    <col min="7687" max="7687" width="25.42578125" style="22" bestFit="1" customWidth="1"/>
    <col min="7688" max="7932" width="9.140625" style="22"/>
    <col min="7933" max="7933" width="6" style="22" customWidth="1"/>
    <col min="7934" max="7934" width="25.42578125" style="22" customWidth="1"/>
    <col min="7935" max="7935" width="26.140625" style="22" customWidth="1"/>
    <col min="7936" max="7936" width="14.85546875" style="22" customWidth="1"/>
    <col min="7937" max="7937" width="14.5703125" style="22" customWidth="1"/>
    <col min="7938" max="7938" width="15.28515625" style="22" customWidth="1"/>
    <col min="7939" max="7940" width="27.42578125" style="22" customWidth="1"/>
    <col min="7941" max="7941" width="25.42578125" style="22" customWidth="1"/>
    <col min="7942" max="7942" width="27.7109375" style="22" customWidth="1"/>
    <col min="7943" max="7943" width="25.42578125" style="22" bestFit="1" customWidth="1"/>
    <col min="7944" max="8188" width="9.140625" style="22"/>
    <col min="8189" max="8189" width="6" style="22" customWidth="1"/>
    <col min="8190" max="8190" width="25.42578125" style="22" customWidth="1"/>
    <col min="8191" max="8191" width="26.140625" style="22" customWidth="1"/>
    <col min="8192" max="8192" width="14.85546875" style="22" customWidth="1"/>
    <col min="8193" max="8193" width="14.5703125" style="22" customWidth="1"/>
    <col min="8194" max="8194" width="15.28515625" style="22" customWidth="1"/>
    <col min="8195" max="8196" width="27.42578125" style="22" customWidth="1"/>
    <col min="8197" max="8197" width="25.42578125" style="22" customWidth="1"/>
    <col min="8198" max="8198" width="27.7109375" style="22" customWidth="1"/>
    <col min="8199" max="8199" width="25.42578125" style="22" bestFit="1" customWidth="1"/>
    <col min="8200" max="8444" width="9.140625" style="22"/>
    <col min="8445" max="8445" width="6" style="22" customWidth="1"/>
    <col min="8446" max="8446" width="25.42578125" style="22" customWidth="1"/>
    <col min="8447" max="8447" width="26.140625" style="22" customWidth="1"/>
    <col min="8448" max="8448" width="14.85546875" style="22" customWidth="1"/>
    <col min="8449" max="8449" width="14.5703125" style="22" customWidth="1"/>
    <col min="8450" max="8450" width="15.28515625" style="22" customWidth="1"/>
    <col min="8451" max="8452" width="27.42578125" style="22" customWidth="1"/>
    <col min="8453" max="8453" width="25.42578125" style="22" customWidth="1"/>
    <col min="8454" max="8454" width="27.7109375" style="22" customWidth="1"/>
    <col min="8455" max="8455" width="25.42578125" style="22" bestFit="1" customWidth="1"/>
    <col min="8456" max="8700" width="9.140625" style="22"/>
    <col min="8701" max="8701" width="6" style="22" customWidth="1"/>
    <col min="8702" max="8702" width="25.42578125" style="22" customWidth="1"/>
    <col min="8703" max="8703" width="26.140625" style="22" customWidth="1"/>
    <col min="8704" max="8704" width="14.85546875" style="22" customWidth="1"/>
    <col min="8705" max="8705" width="14.5703125" style="22" customWidth="1"/>
    <col min="8706" max="8706" width="15.28515625" style="22" customWidth="1"/>
    <col min="8707" max="8708" width="27.42578125" style="22" customWidth="1"/>
    <col min="8709" max="8709" width="25.42578125" style="22" customWidth="1"/>
    <col min="8710" max="8710" width="27.7109375" style="22" customWidth="1"/>
    <col min="8711" max="8711" width="25.42578125" style="22" bestFit="1" customWidth="1"/>
    <col min="8712" max="8956" width="9.140625" style="22"/>
    <col min="8957" max="8957" width="6" style="22" customWidth="1"/>
    <col min="8958" max="8958" width="25.42578125" style="22" customWidth="1"/>
    <col min="8959" max="8959" width="26.140625" style="22" customWidth="1"/>
    <col min="8960" max="8960" width="14.85546875" style="22" customWidth="1"/>
    <col min="8961" max="8961" width="14.5703125" style="22" customWidth="1"/>
    <col min="8962" max="8962" width="15.28515625" style="22" customWidth="1"/>
    <col min="8963" max="8964" width="27.42578125" style="22" customWidth="1"/>
    <col min="8965" max="8965" width="25.42578125" style="22" customWidth="1"/>
    <col min="8966" max="8966" width="27.7109375" style="22" customWidth="1"/>
    <col min="8967" max="8967" width="25.42578125" style="22" bestFit="1" customWidth="1"/>
    <col min="8968" max="9212" width="9.140625" style="22"/>
    <col min="9213" max="9213" width="6" style="22" customWidth="1"/>
    <col min="9214" max="9214" width="25.42578125" style="22" customWidth="1"/>
    <col min="9215" max="9215" width="26.140625" style="22" customWidth="1"/>
    <col min="9216" max="9216" width="14.85546875" style="22" customWidth="1"/>
    <col min="9217" max="9217" width="14.5703125" style="22" customWidth="1"/>
    <col min="9218" max="9218" width="15.28515625" style="22" customWidth="1"/>
    <col min="9219" max="9220" width="27.42578125" style="22" customWidth="1"/>
    <col min="9221" max="9221" width="25.42578125" style="22" customWidth="1"/>
    <col min="9222" max="9222" width="27.7109375" style="22" customWidth="1"/>
    <col min="9223" max="9223" width="25.42578125" style="22" bestFit="1" customWidth="1"/>
    <col min="9224" max="9468" width="9.140625" style="22"/>
    <col min="9469" max="9469" width="6" style="22" customWidth="1"/>
    <col min="9470" max="9470" width="25.42578125" style="22" customWidth="1"/>
    <col min="9471" max="9471" width="26.140625" style="22" customWidth="1"/>
    <col min="9472" max="9472" width="14.85546875" style="22" customWidth="1"/>
    <col min="9473" max="9473" width="14.5703125" style="22" customWidth="1"/>
    <col min="9474" max="9474" width="15.28515625" style="22" customWidth="1"/>
    <col min="9475" max="9476" width="27.42578125" style="22" customWidth="1"/>
    <col min="9477" max="9477" width="25.42578125" style="22" customWidth="1"/>
    <col min="9478" max="9478" width="27.7109375" style="22" customWidth="1"/>
    <col min="9479" max="9479" width="25.42578125" style="22" bestFit="1" customWidth="1"/>
    <col min="9480" max="9724" width="9.140625" style="22"/>
    <col min="9725" max="9725" width="6" style="22" customWidth="1"/>
    <col min="9726" max="9726" width="25.42578125" style="22" customWidth="1"/>
    <col min="9727" max="9727" width="26.140625" style="22" customWidth="1"/>
    <col min="9728" max="9728" width="14.85546875" style="22" customWidth="1"/>
    <col min="9729" max="9729" width="14.5703125" style="22" customWidth="1"/>
    <col min="9730" max="9730" width="15.28515625" style="22" customWidth="1"/>
    <col min="9731" max="9732" width="27.42578125" style="22" customWidth="1"/>
    <col min="9733" max="9733" width="25.42578125" style="22" customWidth="1"/>
    <col min="9734" max="9734" width="27.7109375" style="22" customWidth="1"/>
    <col min="9735" max="9735" width="25.42578125" style="22" bestFit="1" customWidth="1"/>
    <col min="9736" max="9980" width="9.140625" style="22"/>
    <col min="9981" max="9981" width="6" style="22" customWidth="1"/>
    <col min="9982" max="9982" width="25.42578125" style="22" customWidth="1"/>
    <col min="9983" max="9983" width="26.140625" style="22" customWidth="1"/>
    <col min="9984" max="9984" width="14.85546875" style="22" customWidth="1"/>
    <col min="9985" max="9985" width="14.5703125" style="22" customWidth="1"/>
    <col min="9986" max="9986" width="15.28515625" style="22" customWidth="1"/>
    <col min="9987" max="9988" width="27.42578125" style="22" customWidth="1"/>
    <col min="9989" max="9989" width="25.42578125" style="22" customWidth="1"/>
    <col min="9990" max="9990" width="27.7109375" style="22" customWidth="1"/>
    <col min="9991" max="9991" width="25.42578125" style="22" bestFit="1" customWidth="1"/>
    <col min="9992" max="10236" width="9.140625" style="22"/>
    <col min="10237" max="10237" width="6" style="22" customWidth="1"/>
    <col min="10238" max="10238" width="25.42578125" style="22" customWidth="1"/>
    <col min="10239" max="10239" width="26.140625" style="22" customWidth="1"/>
    <col min="10240" max="10240" width="14.85546875" style="22" customWidth="1"/>
    <col min="10241" max="10241" width="14.5703125" style="22" customWidth="1"/>
    <col min="10242" max="10242" width="15.28515625" style="22" customWidth="1"/>
    <col min="10243" max="10244" width="27.42578125" style="22" customWidth="1"/>
    <col min="10245" max="10245" width="25.42578125" style="22" customWidth="1"/>
    <col min="10246" max="10246" width="27.7109375" style="22" customWidth="1"/>
    <col min="10247" max="10247" width="25.42578125" style="22" bestFit="1" customWidth="1"/>
    <col min="10248" max="10492" width="9.140625" style="22"/>
    <col min="10493" max="10493" width="6" style="22" customWidth="1"/>
    <col min="10494" max="10494" width="25.42578125" style="22" customWidth="1"/>
    <col min="10495" max="10495" width="26.140625" style="22" customWidth="1"/>
    <col min="10496" max="10496" width="14.85546875" style="22" customWidth="1"/>
    <col min="10497" max="10497" width="14.5703125" style="22" customWidth="1"/>
    <col min="10498" max="10498" width="15.28515625" style="22" customWidth="1"/>
    <col min="10499" max="10500" width="27.42578125" style="22" customWidth="1"/>
    <col min="10501" max="10501" width="25.42578125" style="22" customWidth="1"/>
    <col min="10502" max="10502" width="27.7109375" style="22" customWidth="1"/>
    <col min="10503" max="10503" width="25.42578125" style="22" bestFit="1" customWidth="1"/>
    <col min="10504" max="10748" width="9.140625" style="22"/>
    <col min="10749" max="10749" width="6" style="22" customWidth="1"/>
    <col min="10750" max="10750" width="25.42578125" style="22" customWidth="1"/>
    <col min="10751" max="10751" width="26.140625" style="22" customWidth="1"/>
    <col min="10752" max="10752" width="14.85546875" style="22" customWidth="1"/>
    <col min="10753" max="10753" width="14.5703125" style="22" customWidth="1"/>
    <col min="10754" max="10754" width="15.28515625" style="22" customWidth="1"/>
    <col min="10755" max="10756" width="27.42578125" style="22" customWidth="1"/>
    <col min="10757" max="10757" width="25.42578125" style="22" customWidth="1"/>
    <col min="10758" max="10758" width="27.7109375" style="22" customWidth="1"/>
    <col min="10759" max="10759" width="25.42578125" style="22" bestFit="1" customWidth="1"/>
    <col min="10760" max="11004" width="9.140625" style="22"/>
    <col min="11005" max="11005" width="6" style="22" customWidth="1"/>
    <col min="11006" max="11006" width="25.42578125" style="22" customWidth="1"/>
    <col min="11007" max="11007" width="26.140625" style="22" customWidth="1"/>
    <col min="11008" max="11008" width="14.85546875" style="22" customWidth="1"/>
    <col min="11009" max="11009" width="14.5703125" style="22" customWidth="1"/>
    <col min="11010" max="11010" width="15.28515625" style="22" customWidth="1"/>
    <col min="11011" max="11012" width="27.42578125" style="22" customWidth="1"/>
    <col min="11013" max="11013" width="25.42578125" style="22" customWidth="1"/>
    <col min="11014" max="11014" width="27.7109375" style="22" customWidth="1"/>
    <col min="11015" max="11015" width="25.42578125" style="22" bestFit="1" customWidth="1"/>
    <col min="11016" max="11260" width="9.140625" style="22"/>
    <col min="11261" max="11261" width="6" style="22" customWidth="1"/>
    <col min="11262" max="11262" width="25.42578125" style="22" customWidth="1"/>
    <col min="11263" max="11263" width="26.140625" style="22" customWidth="1"/>
    <col min="11264" max="11264" width="14.85546875" style="22" customWidth="1"/>
    <col min="11265" max="11265" width="14.5703125" style="22" customWidth="1"/>
    <col min="11266" max="11266" width="15.28515625" style="22" customWidth="1"/>
    <col min="11267" max="11268" width="27.42578125" style="22" customWidth="1"/>
    <col min="11269" max="11269" width="25.42578125" style="22" customWidth="1"/>
    <col min="11270" max="11270" width="27.7109375" style="22" customWidth="1"/>
    <col min="11271" max="11271" width="25.42578125" style="22" bestFit="1" customWidth="1"/>
    <col min="11272" max="11516" width="9.140625" style="22"/>
    <col min="11517" max="11517" width="6" style="22" customWidth="1"/>
    <col min="11518" max="11518" width="25.42578125" style="22" customWidth="1"/>
    <col min="11519" max="11519" width="26.140625" style="22" customWidth="1"/>
    <col min="11520" max="11520" width="14.85546875" style="22" customWidth="1"/>
    <col min="11521" max="11521" width="14.5703125" style="22" customWidth="1"/>
    <col min="11522" max="11522" width="15.28515625" style="22" customWidth="1"/>
    <col min="11523" max="11524" width="27.42578125" style="22" customWidth="1"/>
    <col min="11525" max="11525" width="25.42578125" style="22" customWidth="1"/>
    <col min="11526" max="11526" width="27.7109375" style="22" customWidth="1"/>
    <col min="11527" max="11527" width="25.42578125" style="22" bestFit="1" customWidth="1"/>
    <col min="11528" max="11772" width="9.140625" style="22"/>
    <col min="11773" max="11773" width="6" style="22" customWidth="1"/>
    <col min="11774" max="11774" width="25.42578125" style="22" customWidth="1"/>
    <col min="11775" max="11775" width="26.140625" style="22" customWidth="1"/>
    <col min="11776" max="11776" width="14.85546875" style="22" customWidth="1"/>
    <col min="11777" max="11777" width="14.5703125" style="22" customWidth="1"/>
    <col min="11778" max="11778" width="15.28515625" style="22" customWidth="1"/>
    <col min="11779" max="11780" width="27.42578125" style="22" customWidth="1"/>
    <col min="11781" max="11781" width="25.42578125" style="22" customWidth="1"/>
    <col min="11782" max="11782" width="27.7109375" style="22" customWidth="1"/>
    <col min="11783" max="11783" width="25.42578125" style="22" bestFit="1" customWidth="1"/>
    <col min="11784" max="12028" width="9.140625" style="22"/>
    <col min="12029" max="12029" width="6" style="22" customWidth="1"/>
    <col min="12030" max="12030" width="25.42578125" style="22" customWidth="1"/>
    <col min="12031" max="12031" width="26.140625" style="22" customWidth="1"/>
    <col min="12032" max="12032" width="14.85546875" style="22" customWidth="1"/>
    <col min="12033" max="12033" width="14.5703125" style="22" customWidth="1"/>
    <col min="12034" max="12034" width="15.28515625" style="22" customWidth="1"/>
    <col min="12035" max="12036" width="27.42578125" style="22" customWidth="1"/>
    <col min="12037" max="12037" width="25.42578125" style="22" customWidth="1"/>
    <col min="12038" max="12038" width="27.7109375" style="22" customWidth="1"/>
    <col min="12039" max="12039" width="25.42578125" style="22" bestFit="1" customWidth="1"/>
    <col min="12040" max="12284" width="9.140625" style="22"/>
    <col min="12285" max="12285" width="6" style="22" customWidth="1"/>
    <col min="12286" max="12286" width="25.42578125" style="22" customWidth="1"/>
    <col min="12287" max="12287" width="26.140625" style="22" customWidth="1"/>
    <col min="12288" max="12288" width="14.85546875" style="22" customWidth="1"/>
    <col min="12289" max="12289" width="14.5703125" style="22" customWidth="1"/>
    <col min="12290" max="12290" width="15.28515625" style="22" customWidth="1"/>
    <col min="12291" max="12292" width="27.42578125" style="22" customWidth="1"/>
    <col min="12293" max="12293" width="25.42578125" style="22" customWidth="1"/>
    <col min="12294" max="12294" width="27.7109375" style="22" customWidth="1"/>
    <col min="12295" max="12295" width="25.42578125" style="22" bestFit="1" customWidth="1"/>
    <col min="12296" max="12540" width="9.140625" style="22"/>
    <col min="12541" max="12541" width="6" style="22" customWidth="1"/>
    <col min="12542" max="12542" width="25.42578125" style="22" customWidth="1"/>
    <col min="12543" max="12543" width="26.140625" style="22" customWidth="1"/>
    <col min="12544" max="12544" width="14.85546875" style="22" customWidth="1"/>
    <col min="12545" max="12545" width="14.5703125" style="22" customWidth="1"/>
    <col min="12546" max="12546" width="15.28515625" style="22" customWidth="1"/>
    <col min="12547" max="12548" width="27.42578125" style="22" customWidth="1"/>
    <col min="12549" max="12549" width="25.42578125" style="22" customWidth="1"/>
    <col min="12550" max="12550" width="27.7109375" style="22" customWidth="1"/>
    <col min="12551" max="12551" width="25.42578125" style="22" bestFit="1" customWidth="1"/>
    <col min="12552" max="12796" width="9.140625" style="22"/>
    <col min="12797" max="12797" width="6" style="22" customWidth="1"/>
    <col min="12798" max="12798" width="25.42578125" style="22" customWidth="1"/>
    <col min="12799" max="12799" width="26.140625" style="22" customWidth="1"/>
    <col min="12800" max="12800" width="14.85546875" style="22" customWidth="1"/>
    <col min="12801" max="12801" width="14.5703125" style="22" customWidth="1"/>
    <col min="12802" max="12802" width="15.28515625" style="22" customWidth="1"/>
    <col min="12803" max="12804" width="27.42578125" style="22" customWidth="1"/>
    <col min="12805" max="12805" width="25.42578125" style="22" customWidth="1"/>
    <col min="12806" max="12806" width="27.7109375" style="22" customWidth="1"/>
    <col min="12807" max="12807" width="25.42578125" style="22" bestFit="1" customWidth="1"/>
    <col min="12808" max="13052" width="9.140625" style="22"/>
    <col min="13053" max="13053" width="6" style="22" customWidth="1"/>
    <col min="13054" max="13054" width="25.42578125" style="22" customWidth="1"/>
    <col min="13055" max="13055" width="26.140625" style="22" customWidth="1"/>
    <col min="13056" max="13056" width="14.85546875" style="22" customWidth="1"/>
    <col min="13057" max="13057" width="14.5703125" style="22" customWidth="1"/>
    <col min="13058" max="13058" width="15.28515625" style="22" customWidth="1"/>
    <col min="13059" max="13060" width="27.42578125" style="22" customWidth="1"/>
    <col min="13061" max="13061" width="25.42578125" style="22" customWidth="1"/>
    <col min="13062" max="13062" width="27.7109375" style="22" customWidth="1"/>
    <col min="13063" max="13063" width="25.42578125" style="22" bestFit="1" customWidth="1"/>
    <col min="13064" max="13308" width="9.140625" style="22"/>
    <col min="13309" max="13309" width="6" style="22" customWidth="1"/>
    <col min="13310" max="13310" width="25.42578125" style="22" customWidth="1"/>
    <col min="13311" max="13311" width="26.140625" style="22" customWidth="1"/>
    <col min="13312" max="13312" width="14.85546875" style="22" customWidth="1"/>
    <col min="13313" max="13313" width="14.5703125" style="22" customWidth="1"/>
    <col min="13314" max="13314" width="15.28515625" style="22" customWidth="1"/>
    <col min="13315" max="13316" width="27.42578125" style="22" customWidth="1"/>
    <col min="13317" max="13317" width="25.42578125" style="22" customWidth="1"/>
    <col min="13318" max="13318" width="27.7109375" style="22" customWidth="1"/>
    <col min="13319" max="13319" width="25.42578125" style="22" bestFit="1" customWidth="1"/>
    <col min="13320" max="13564" width="9.140625" style="22"/>
    <col min="13565" max="13565" width="6" style="22" customWidth="1"/>
    <col min="13566" max="13566" width="25.42578125" style="22" customWidth="1"/>
    <col min="13567" max="13567" width="26.140625" style="22" customWidth="1"/>
    <col min="13568" max="13568" width="14.85546875" style="22" customWidth="1"/>
    <col min="13569" max="13569" width="14.5703125" style="22" customWidth="1"/>
    <col min="13570" max="13570" width="15.28515625" style="22" customWidth="1"/>
    <col min="13571" max="13572" width="27.42578125" style="22" customWidth="1"/>
    <col min="13573" max="13573" width="25.42578125" style="22" customWidth="1"/>
    <col min="13574" max="13574" width="27.7109375" style="22" customWidth="1"/>
    <col min="13575" max="13575" width="25.42578125" style="22" bestFit="1" customWidth="1"/>
    <col min="13576" max="13820" width="9.140625" style="22"/>
    <col min="13821" max="13821" width="6" style="22" customWidth="1"/>
    <col min="13822" max="13822" width="25.42578125" style="22" customWidth="1"/>
    <col min="13823" max="13823" width="26.140625" style="22" customWidth="1"/>
    <col min="13824" max="13824" width="14.85546875" style="22" customWidth="1"/>
    <col min="13825" max="13825" width="14.5703125" style="22" customWidth="1"/>
    <col min="13826" max="13826" width="15.28515625" style="22" customWidth="1"/>
    <col min="13827" max="13828" width="27.42578125" style="22" customWidth="1"/>
    <col min="13829" max="13829" width="25.42578125" style="22" customWidth="1"/>
    <col min="13830" max="13830" width="27.7109375" style="22" customWidth="1"/>
    <col min="13831" max="13831" width="25.42578125" style="22" bestFit="1" customWidth="1"/>
    <col min="13832" max="14076" width="9.140625" style="22"/>
    <col min="14077" max="14077" width="6" style="22" customWidth="1"/>
    <col min="14078" max="14078" width="25.42578125" style="22" customWidth="1"/>
    <col min="14079" max="14079" width="26.140625" style="22" customWidth="1"/>
    <col min="14080" max="14080" width="14.85546875" style="22" customWidth="1"/>
    <col min="14081" max="14081" width="14.5703125" style="22" customWidth="1"/>
    <col min="14082" max="14082" width="15.28515625" style="22" customWidth="1"/>
    <col min="14083" max="14084" width="27.42578125" style="22" customWidth="1"/>
    <col min="14085" max="14085" width="25.42578125" style="22" customWidth="1"/>
    <col min="14086" max="14086" width="27.7109375" style="22" customWidth="1"/>
    <col min="14087" max="14087" width="25.42578125" style="22" bestFit="1" customWidth="1"/>
    <col min="14088" max="14332" width="9.140625" style="22"/>
    <col min="14333" max="14333" width="6" style="22" customWidth="1"/>
    <col min="14334" max="14334" width="25.42578125" style="22" customWidth="1"/>
    <col min="14335" max="14335" width="26.140625" style="22" customWidth="1"/>
    <col min="14336" max="14336" width="14.85546875" style="22" customWidth="1"/>
    <col min="14337" max="14337" width="14.5703125" style="22" customWidth="1"/>
    <col min="14338" max="14338" width="15.28515625" style="22" customWidth="1"/>
    <col min="14339" max="14340" width="27.42578125" style="22" customWidth="1"/>
    <col min="14341" max="14341" width="25.42578125" style="22" customWidth="1"/>
    <col min="14342" max="14342" width="27.7109375" style="22" customWidth="1"/>
    <col min="14343" max="14343" width="25.42578125" style="22" bestFit="1" customWidth="1"/>
    <col min="14344" max="14588" width="9.140625" style="22"/>
    <col min="14589" max="14589" width="6" style="22" customWidth="1"/>
    <col min="14590" max="14590" width="25.42578125" style="22" customWidth="1"/>
    <col min="14591" max="14591" width="26.140625" style="22" customWidth="1"/>
    <col min="14592" max="14592" width="14.85546875" style="22" customWidth="1"/>
    <col min="14593" max="14593" width="14.5703125" style="22" customWidth="1"/>
    <col min="14594" max="14594" width="15.28515625" style="22" customWidth="1"/>
    <col min="14595" max="14596" width="27.42578125" style="22" customWidth="1"/>
    <col min="14597" max="14597" width="25.42578125" style="22" customWidth="1"/>
    <col min="14598" max="14598" width="27.7109375" style="22" customWidth="1"/>
    <col min="14599" max="14599" width="25.42578125" style="22" bestFit="1" customWidth="1"/>
    <col min="14600" max="14844" width="9.140625" style="22"/>
    <col min="14845" max="14845" width="6" style="22" customWidth="1"/>
    <col min="14846" max="14846" width="25.42578125" style="22" customWidth="1"/>
    <col min="14847" max="14847" width="26.140625" style="22" customWidth="1"/>
    <col min="14848" max="14848" width="14.85546875" style="22" customWidth="1"/>
    <col min="14849" max="14849" width="14.5703125" style="22" customWidth="1"/>
    <col min="14850" max="14850" width="15.28515625" style="22" customWidth="1"/>
    <col min="14851" max="14852" width="27.42578125" style="22" customWidth="1"/>
    <col min="14853" max="14853" width="25.42578125" style="22" customWidth="1"/>
    <col min="14854" max="14854" width="27.7109375" style="22" customWidth="1"/>
    <col min="14855" max="14855" width="25.42578125" style="22" bestFit="1" customWidth="1"/>
    <col min="14856" max="15100" width="9.140625" style="22"/>
    <col min="15101" max="15101" width="6" style="22" customWidth="1"/>
    <col min="15102" max="15102" width="25.42578125" style="22" customWidth="1"/>
    <col min="15103" max="15103" width="26.140625" style="22" customWidth="1"/>
    <col min="15104" max="15104" width="14.85546875" style="22" customWidth="1"/>
    <col min="15105" max="15105" width="14.5703125" style="22" customWidth="1"/>
    <col min="15106" max="15106" width="15.28515625" style="22" customWidth="1"/>
    <col min="15107" max="15108" width="27.42578125" style="22" customWidth="1"/>
    <col min="15109" max="15109" width="25.42578125" style="22" customWidth="1"/>
    <col min="15110" max="15110" width="27.7109375" style="22" customWidth="1"/>
    <col min="15111" max="15111" width="25.42578125" style="22" bestFit="1" customWidth="1"/>
    <col min="15112" max="15356" width="9.140625" style="22"/>
    <col min="15357" max="15357" width="6" style="22" customWidth="1"/>
    <col min="15358" max="15358" width="25.42578125" style="22" customWidth="1"/>
    <col min="15359" max="15359" width="26.140625" style="22" customWidth="1"/>
    <col min="15360" max="15360" width="14.85546875" style="22" customWidth="1"/>
    <col min="15361" max="15361" width="14.5703125" style="22" customWidth="1"/>
    <col min="15362" max="15362" width="15.28515625" style="22" customWidth="1"/>
    <col min="15363" max="15364" width="27.42578125" style="22" customWidth="1"/>
    <col min="15365" max="15365" width="25.42578125" style="22" customWidth="1"/>
    <col min="15366" max="15366" width="27.7109375" style="22" customWidth="1"/>
    <col min="15367" max="15367" width="25.42578125" style="22" bestFit="1" customWidth="1"/>
    <col min="15368" max="15612" width="9.140625" style="22"/>
    <col min="15613" max="15613" width="6" style="22" customWidth="1"/>
    <col min="15614" max="15614" width="25.42578125" style="22" customWidth="1"/>
    <col min="15615" max="15615" width="26.140625" style="22" customWidth="1"/>
    <col min="15616" max="15616" width="14.85546875" style="22" customWidth="1"/>
    <col min="15617" max="15617" width="14.5703125" style="22" customWidth="1"/>
    <col min="15618" max="15618" width="15.28515625" style="22" customWidth="1"/>
    <col min="15619" max="15620" width="27.42578125" style="22" customWidth="1"/>
    <col min="15621" max="15621" width="25.42578125" style="22" customWidth="1"/>
    <col min="15622" max="15622" width="27.7109375" style="22" customWidth="1"/>
    <col min="15623" max="15623" width="25.42578125" style="22" bestFit="1" customWidth="1"/>
    <col min="15624" max="15868" width="9.140625" style="22"/>
    <col min="15869" max="15869" width="6" style="22" customWidth="1"/>
    <col min="15870" max="15870" width="25.42578125" style="22" customWidth="1"/>
    <col min="15871" max="15871" width="26.140625" style="22" customWidth="1"/>
    <col min="15872" max="15872" width="14.85546875" style="22" customWidth="1"/>
    <col min="15873" max="15873" width="14.5703125" style="22" customWidth="1"/>
    <col min="15874" max="15874" width="15.28515625" style="22" customWidth="1"/>
    <col min="15875" max="15876" width="27.42578125" style="22" customWidth="1"/>
    <col min="15877" max="15877" width="25.42578125" style="22" customWidth="1"/>
    <col min="15878" max="15878" width="27.7109375" style="22" customWidth="1"/>
    <col min="15879" max="15879" width="25.42578125" style="22" bestFit="1" customWidth="1"/>
    <col min="15880" max="16124" width="9.140625" style="22"/>
    <col min="16125" max="16125" width="6" style="22" customWidth="1"/>
    <col min="16126" max="16126" width="25.42578125" style="22" customWidth="1"/>
    <col min="16127" max="16127" width="26.140625" style="22" customWidth="1"/>
    <col min="16128" max="16128" width="14.85546875" style="22" customWidth="1"/>
    <col min="16129" max="16129" width="14.5703125" style="22" customWidth="1"/>
    <col min="16130" max="16130" width="15.28515625" style="22" customWidth="1"/>
    <col min="16131" max="16132" width="27.42578125" style="22" customWidth="1"/>
    <col min="16133" max="16133" width="25.42578125" style="22" customWidth="1"/>
    <col min="16134" max="16134" width="27.7109375" style="22" customWidth="1"/>
    <col min="16135" max="16135" width="25.42578125" style="22" bestFit="1" customWidth="1"/>
    <col min="16136" max="16384" width="9.140625" style="22"/>
  </cols>
  <sheetData>
    <row r="1" spans="1:10" ht="33.75" customHeight="1" x14ac:dyDescent="0.4">
      <c r="A1" s="1026" t="s">
        <v>48</v>
      </c>
      <c r="B1" s="1026"/>
      <c r="C1" s="1026"/>
      <c r="D1" s="1026"/>
      <c r="E1" s="1026"/>
      <c r="F1" s="1026"/>
      <c r="G1" s="1026"/>
      <c r="H1" s="1026"/>
      <c r="I1" s="1026"/>
      <c r="J1" s="1026"/>
    </row>
    <row r="2" spans="1:10" s="170" customFormat="1" ht="24" customHeight="1" x14ac:dyDescent="0.25">
      <c r="A2" s="1026" t="s">
        <v>154</v>
      </c>
      <c r="B2" s="1026"/>
      <c r="C2" s="1026"/>
      <c r="D2" s="1026"/>
      <c r="E2" s="1026"/>
      <c r="F2" s="1026"/>
      <c r="G2" s="1026"/>
      <c r="H2" s="1026"/>
      <c r="I2" s="1026"/>
      <c r="J2" s="1026"/>
    </row>
    <row r="3" spans="1:10" ht="21" customHeight="1" thickBot="1" x14ac:dyDescent="0.45">
      <c r="A3" s="23"/>
      <c r="B3" s="23"/>
      <c r="C3" s="23"/>
      <c r="D3" s="23"/>
      <c r="E3" s="23"/>
      <c r="F3" s="23" t="s">
        <v>32</v>
      </c>
      <c r="G3" s="23"/>
      <c r="H3" s="23"/>
      <c r="I3" s="23"/>
      <c r="J3" s="23" t="s">
        <v>20</v>
      </c>
    </row>
    <row r="4" spans="1:10" ht="28.5" customHeight="1" thickBot="1" x14ac:dyDescent="0.45">
      <c r="A4" s="1027" t="s">
        <v>15</v>
      </c>
      <c r="B4" s="1029" t="s">
        <v>49</v>
      </c>
      <c r="C4" s="1029" t="s">
        <v>50</v>
      </c>
      <c r="D4" s="1031" t="s">
        <v>67</v>
      </c>
      <c r="E4" s="1032"/>
      <c r="F4" s="1027" t="s">
        <v>51</v>
      </c>
      <c r="G4" s="1035" t="s">
        <v>28</v>
      </c>
      <c r="H4" s="1037" t="s">
        <v>52</v>
      </c>
      <c r="I4" s="1038"/>
      <c r="J4" s="1035" t="s">
        <v>53</v>
      </c>
    </row>
    <row r="5" spans="1:10" ht="34.5" customHeight="1" thickBot="1" x14ac:dyDescent="0.45">
      <c r="A5" s="1028"/>
      <c r="B5" s="1030"/>
      <c r="C5" s="1030"/>
      <c r="D5" s="1033"/>
      <c r="E5" s="1034"/>
      <c r="F5" s="1028"/>
      <c r="G5" s="1036"/>
      <c r="H5" s="529" t="s">
        <v>54</v>
      </c>
      <c r="I5" s="24" t="s">
        <v>55</v>
      </c>
      <c r="J5" s="1036"/>
    </row>
    <row r="6" spans="1:10" ht="21" hidden="1" customHeight="1" x14ac:dyDescent="0.4">
      <c r="A6" s="25">
        <v>1</v>
      </c>
      <c r="B6" s="26">
        <v>500000000</v>
      </c>
      <c r="C6" s="27">
        <v>0.08</v>
      </c>
      <c r="D6" s="28">
        <v>41029</v>
      </c>
      <c r="E6" s="29">
        <v>41095</v>
      </c>
      <c r="F6" s="25">
        <f>E6-D6+1</f>
        <v>67</v>
      </c>
      <c r="G6" s="30">
        <f>B6*C6*F6/366</f>
        <v>7322404.3715846995</v>
      </c>
      <c r="H6" s="31"/>
      <c r="I6" s="32">
        <v>0</v>
      </c>
      <c r="J6" s="33">
        <f>G6-I6</f>
        <v>7322404.3715846995</v>
      </c>
    </row>
    <row r="7" spans="1:10" ht="21" hidden="1" customHeight="1" x14ac:dyDescent="0.4">
      <c r="A7" s="34">
        <v>2</v>
      </c>
      <c r="B7" s="35">
        <v>500000000</v>
      </c>
      <c r="C7" s="36">
        <v>6.8000000000000005E-2</v>
      </c>
      <c r="D7" s="37">
        <v>41096</v>
      </c>
      <c r="E7" s="38">
        <v>41136</v>
      </c>
      <c r="F7" s="34">
        <f>E7-D7</f>
        <v>40</v>
      </c>
      <c r="G7" s="39">
        <f>B7*C7*F7/366</f>
        <v>3715846.9945355193</v>
      </c>
      <c r="H7" s="40"/>
      <c r="I7" s="41">
        <v>0</v>
      </c>
      <c r="J7" s="42">
        <f>G7-I7</f>
        <v>3715846.9945355193</v>
      </c>
    </row>
    <row r="8" spans="1:10" ht="0.75" customHeight="1" thickBot="1" x14ac:dyDescent="0.45">
      <c r="A8" s="43">
        <v>3</v>
      </c>
      <c r="B8" s="44">
        <v>500000000</v>
      </c>
      <c r="C8" s="45">
        <v>6.5000000000000002E-2</v>
      </c>
      <c r="D8" s="46">
        <f>E7</f>
        <v>41136</v>
      </c>
      <c r="E8" s="47">
        <v>41275</v>
      </c>
      <c r="F8" s="48">
        <f>E8-D8</f>
        <v>139</v>
      </c>
      <c r="G8" s="49">
        <f>B8*C8*F8/366</f>
        <v>12342896.174863389</v>
      </c>
      <c r="H8" s="50"/>
      <c r="I8" s="51">
        <v>0</v>
      </c>
      <c r="J8" s="52">
        <f>G8-I8</f>
        <v>12342896.174863389</v>
      </c>
    </row>
    <row r="9" spans="1:10" s="54" customFormat="1" ht="23.25" customHeight="1" thickBot="1" x14ac:dyDescent="0.45">
      <c r="A9" s="1017" t="s">
        <v>75</v>
      </c>
      <c r="B9" s="1018"/>
      <c r="C9" s="1018"/>
      <c r="D9" s="1018"/>
      <c r="E9" s="1019"/>
      <c r="F9" s="171">
        <f>SUM(F6:F8)</f>
        <v>246</v>
      </c>
      <c r="G9" s="198">
        <f>SUM(G6:G8)</f>
        <v>23381147.54098361</v>
      </c>
      <c r="H9" s="199"/>
      <c r="I9" s="200">
        <f>SUM(I6:I8)</f>
        <v>0</v>
      </c>
      <c r="J9" s="201">
        <f>SUM(J6:J8)</f>
        <v>23381147.54098361</v>
      </c>
    </row>
    <row r="10" spans="1:10" ht="40.5" hidden="1" customHeight="1" thickBot="1" x14ac:dyDescent="0.45">
      <c r="A10" s="172">
        <v>1</v>
      </c>
      <c r="B10" s="202">
        <v>500000000</v>
      </c>
      <c r="C10" s="173">
        <v>6.5000000000000002E-2</v>
      </c>
      <c r="D10" s="174">
        <f>E8</f>
        <v>41275</v>
      </c>
      <c r="E10" s="175">
        <v>41462</v>
      </c>
      <c r="F10" s="176">
        <v>188</v>
      </c>
      <c r="G10" s="203">
        <f>B10*C10*F10/365</f>
        <v>16739726.02739726</v>
      </c>
      <c r="H10" s="204"/>
      <c r="I10" s="205">
        <v>0</v>
      </c>
      <c r="J10" s="206">
        <f>G10-I10</f>
        <v>16739726.02739726</v>
      </c>
    </row>
    <row r="11" spans="1:10" ht="40.5" hidden="1" customHeight="1" thickBot="1" x14ac:dyDescent="0.45">
      <c r="A11" s="177">
        <v>2</v>
      </c>
      <c r="B11" s="207">
        <v>500000000</v>
      </c>
      <c r="C11" s="178">
        <v>6.0999999999999999E-2</v>
      </c>
      <c r="D11" s="179">
        <v>41463</v>
      </c>
      <c r="E11" s="179">
        <v>41554</v>
      </c>
      <c r="F11" s="180">
        <f>E11-D11</f>
        <v>91</v>
      </c>
      <c r="G11" s="208">
        <f>B11*C11*F11/365</f>
        <v>7604109.5890410962</v>
      </c>
      <c r="H11" s="209"/>
      <c r="I11" s="210">
        <v>0</v>
      </c>
      <c r="J11" s="211">
        <f>G11-I11</f>
        <v>7604109.5890410962</v>
      </c>
    </row>
    <row r="12" spans="1:10" ht="21.75" hidden="1" customHeight="1" thickBot="1" x14ac:dyDescent="0.45">
      <c r="A12" s="181">
        <v>3</v>
      </c>
      <c r="B12" s="212">
        <v>500000000</v>
      </c>
      <c r="C12" s="182">
        <v>5.5E-2</v>
      </c>
      <c r="D12" s="183">
        <f>E11</f>
        <v>41554</v>
      </c>
      <c r="E12" s="184">
        <v>41639</v>
      </c>
      <c r="F12" s="185">
        <v>86</v>
      </c>
      <c r="G12" s="213">
        <f>B12*C12*F12/365</f>
        <v>6479452.0547945201</v>
      </c>
      <c r="H12" s="214"/>
      <c r="I12" s="215">
        <v>0</v>
      </c>
      <c r="J12" s="216">
        <f>G12-I12</f>
        <v>6479452.0547945201</v>
      </c>
    </row>
    <row r="13" spans="1:10" s="54" customFormat="1" ht="21.75" customHeight="1" thickBot="1" x14ac:dyDescent="0.45">
      <c r="A13" s="1017" t="s">
        <v>76</v>
      </c>
      <c r="B13" s="1018"/>
      <c r="C13" s="1018"/>
      <c r="D13" s="1018"/>
      <c r="E13" s="1019"/>
      <c r="F13" s="171">
        <f>SUM(F10:F12)</f>
        <v>365</v>
      </c>
      <c r="G13" s="198">
        <f>SUM(G10:G12)</f>
        <v>30823287.671232875</v>
      </c>
      <c r="H13" s="199"/>
      <c r="I13" s="200">
        <f>SUM(I10:I12)</f>
        <v>0</v>
      </c>
      <c r="J13" s="201">
        <f>SUM(J10:J12)</f>
        <v>30823287.671232875</v>
      </c>
    </row>
    <row r="14" spans="1:10" ht="2.25" hidden="1" customHeight="1" thickBot="1" x14ac:dyDescent="0.45">
      <c r="A14" s="1017">
        <v>1</v>
      </c>
      <c r="B14" s="1018">
        <v>500000000</v>
      </c>
      <c r="C14" s="1018">
        <v>5.5E-2</v>
      </c>
      <c r="D14" s="1018">
        <v>41640</v>
      </c>
      <c r="E14" s="1019">
        <v>41648</v>
      </c>
      <c r="F14" s="176">
        <v>9</v>
      </c>
      <c r="G14" s="203">
        <f>B14*C14*F14/365</f>
        <v>678082.19178082189</v>
      </c>
      <c r="H14" s="204"/>
      <c r="I14" s="205">
        <v>0</v>
      </c>
      <c r="J14" s="206">
        <f>G14-I14</f>
        <v>678082.19178082189</v>
      </c>
    </row>
    <row r="15" spans="1:10" ht="40.5" hidden="1" customHeight="1" thickBot="1" x14ac:dyDescent="0.45">
      <c r="A15" s="1017">
        <v>2</v>
      </c>
      <c r="B15" s="1018">
        <v>500000000</v>
      </c>
      <c r="C15" s="1018">
        <v>4.8000000000000001E-2</v>
      </c>
      <c r="D15" s="1018">
        <v>41649</v>
      </c>
      <c r="E15" s="1019">
        <v>41778</v>
      </c>
      <c r="F15" s="180">
        <f>E15-D15</f>
        <v>129</v>
      </c>
      <c r="G15" s="208">
        <f>B15*C15*F15/365</f>
        <v>8482191.7808219176</v>
      </c>
      <c r="H15" s="209"/>
      <c r="I15" s="210">
        <v>0</v>
      </c>
      <c r="J15" s="211">
        <f>G15-I15</f>
        <v>8482191.7808219176</v>
      </c>
    </row>
    <row r="16" spans="1:10" ht="40.5" hidden="1" customHeight="1" thickBot="1" x14ac:dyDescent="0.45">
      <c r="A16" s="1017">
        <v>3</v>
      </c>
      <c r="B16" s="1018">
        <v>500000000</v>
      </c>
      <c r="C16" s="1018">
        <v>5.8999999999999997E-2</v>
      </c>
      <c r="D16" s="1018">
        <f>E15</f>
        <v>41778</v>
      </c>
      <c r="E16" s="1019">
        <v>41915</v>
      </c>
      <c r="F16" s="180">
        <f>E16-D16</f>
        <v>137</v>
      </c>
      <c r="G16" s="208">
        <f>B16*C16*F16/365</f>
        <v>11072602.739726027</v>
      </c>
      <c r="H16" s="209"/>
      <c r="I16" s="210">
        <v>0</v>
      </c>
      <c r="J16" s="211">
        <f>G16-I16</f>
        <v>11072602.739726027</v>
      </c>
    </row>
    <row r="17" spans="1:252" ht="40.5" hidden="1" customHeight="1" thickBot="1" x14ac:dyDescent="0.45">
      <c r="A17" s="1017">
        <v>4</v>
      </c>
      <c r="B17" s="1018">
        <v>500000000</v>
      </c>
      <c r="C17" s="1018">
        <v>6.9000000000000006E-2</v>
      </c>
      <c r="D17" s="1018">
        <f>E16</f>
        <v>41915</v>
      </c>
      <c r="E17" s="1019">
        <v>41994</v>
      </c>
      <c r="F17" s="180">
        <v>80</v>
      </c>
      <c r="G17" s="208">
        <f>B17*C17*F17/365</f>
        <v>7561643.8356164386</v>
      </c>
      <c r="H17" s="209"/>
      <c r="I17" s="210">
        <v>0</v>
      </c>
      <c r="J17" s="211">
        <f>G17-I17</f>
        <v>7561643.8356164386</v>
      </c>
    </row>
    <row r="18" spans="1:252" ht="40.5" hidden="1" customHeight="1" thickBot="1" x14ac:dyDescent="0.45">
      <c r="A18" s="1017">
        <v>5</v>
      </c>
      <c r="B18" s="1018">
        <v>500000000</v>
      </c>
      <c r="C18" s="1018">
        <v>0.08</v>
      </c>
      <c r="D18" s="1018">
        <v>41995</v>
      </c>
      <c r="E18" s="1019">
        <v>42004</v>
      </c>
      <c r="F18" s="185">
        <v>10</v>
      </c>
      <c r="G18" s="213">
        <f>B18*C18*F18/365</f>
        <v>1095890.4109589041</v>
      </c>
      <c r="H18" s="214"/>
      <c r="I18" s="215">
        <v>0</v>
      </c>
      <c r="J18" s="216">
        <f>G18-I18</f>
        <v>1095890.4109589041</v>
      </c>
    </row>
    <row r="19" spans="1:252" s="54" customFormat="1" ht="22.5" customHeight="1" thickBot="1" x14ac:dyDescent="0.45">
      <c r="A19" s="1017" t="s">
        <v>77</v>
      </c>
      <c r="B19" s="1018"/>
      <c r="C19" s="1018"/>
      <c r="D19" s="1018"/>
      <c r="E19" s="1019"/>
      <c r="F19" s="171">
        <v>365</v>
      </c>
      <c r="G19" s="186">
        <f>SUM(G14:G18)</f>
        <v>28890410.958904114</v>
      </c>
      <c r="H19" s="187"/>
      <c r="I19" s="200">
        <f>SUM(I14:I18)</f>
        <v>0</v>
      </c>
      <c r="J19" s="201">
        <f>SUM(J14:J18)</f>
        <v>28890410.958904114</v>
      </c>
    </row>
    <row r="20" spans="1:252" ht="40.5" hidden="1" customHeight="1" thickBot="1" x14ac:dyDescent="0.45">
      <c r="A20" s="1017">
        <v>1</v>
      </c>
      <c r="B20" s="1018">
        <v>500000000</v>
      </c>
      <c r="C20" s="1018">
        <v>0.08</v>
      </c>
      <c r="D20" s="1018">
        <v>42005</v>
      </c>
      <c r="E20" s="1019">
        <v>42369</v>
      </c>
      <c r="F20" s="188">
        <f>365</f>
        <v>365</v>
      </c>
      <c r="G20" s="217">
        <f>B20*C20*F20/365</f>
        <v>40000000</v>
      </c>
      <c r="H20" s="218"/>
      <c r="I20" s="219">
        <v>0</v>
      </c>
      <c r="J20" s="220">
        <f t="shared" ref="J20:J28" si="0">G20-I20</f>
        <v>40000000</v>
      </c>
    </row>
    <row r="21" spans="1:252" s="54" customFormat="1" ht="21.75" customHeight="1" thickBot="1" x14ac:dyDescent="0.45">
      <c r="A21" s="1017" t="s">
        <v>78</v>
      </c>
      <c r="B21" s="1018"/>
      <c r="C21" s="1018"/>
      <c r="D21" s="1018"/>
      <c r="E21" s="1019"/>
      <c r="F21" s="171">
        <f>F20</f>
        <v>365</v>
      </c>
      <c r="G21" s="186">
        <f>G20</f>
        <v>40000000</v>
      </c>
      <c r="H21" s="187"/>
      <c r="I21" s="200">
        <f>SUM(I16:I20)</f>
        <v>0</v>
      </c>
      <c r="J21" s="201">
        <f t="shared" si="0"/>
        <v>40000000</v>
      </c>
    </row>
    <row r="22" spans="1:252" s="54" customFormat="1" ht="40.5" hidden="1" customHeight="1" thickBot="1" x14ac:dyDescent="0.45">
      <c r="A22" s="1017">
        <v>1</v>
      </c>
      <c r="B22" s="1018">
        <v>500000000</v>
      </c>
      <c r="C22" s="1018">
        <v>0.08</v>
      </c>
      <c r="D22" s="1018">
        <v>42370</v>
      </c>
      <c r="E22" s="1019">
        <v>42735</v>
      </c>
      <c r="F22" s="189">
        <v>366</v>
      </c>
      <c r="G22" s="221">
        <f>B22*C22*F22/366</f>
        <v>40000000</v>
      </c>
      <c r="H22" s="218"/>
      <c r="I22" s="210">
        <v>0</v>
      </c>
      <c r="J22" s="206">
        <f t="shared" si="0"/>
        <v>40000000</v>
      </c>
      <c r="IR22" s="54">
        <f>SUM(A22:IQ22)</f>
        <v>580085472.07999992</v>
      </c>
    </row>
    <row r="23" spans="1:252" s="54" customFormat="1" ht="21.75" customHeight="1" thickBot="1" x14ac:dyDescent="0.45">
      <c r="A23" s="1017" t="s">
        <v>79</v>
      </c>
      <c r="B23" s="1018"/>
      <c r="C23" s="1018"/>
      <c r="D23" s="1018"/>
      <c r="E23" s="1019"/>
      <c r="F23" s="171">
        <f>SUM(F22:F22)</f>
        <v>366</v>
      </c>
      <c r="G23" s="186">
        <f>SUM(G22:G22)</f>
        <v>40000000</v>
      </c>
      <c r="H23" s="187"/>
      <c r="I23" s="200">
        <f>SUM(I19:I22)</f>
        <v>0</v>
      </c>
      <c r="J23" s="201">
        <f t="shared" si="0"/>
        <v>40000000</v>
      </c>
    </row>
    <row r="24" spans="1:252" ht="1.5" hidden="1" customHeight="1" thickBot="1" x14ac:dyDescent="0.45">
      <c r="A24" s="1017">
        <v>1</v>
      </c>
      <c r="B24" s="1018">
        <v>500000000</v>
      </c>
      <c r="C24" s="1018">
        <v>0.08</v>
      </c>
      <c r="D24" s="1018">
        <v>42736</v>
      </c>
      <c r="E24" s="1019">
        <v>43100</v>
      </c>
      <c r="F24" s="190">
        <v>365</v>
      </c>
      <c r="G24" s="203">
        <f>B24*C24*F24/365</f>
        <v>40000000</v>
      </c>
      <c r="H24" s="204"/>
      <c r="I24" s="222">
        <v>7955243</v>
      </c>
      <c r="J24" s="206">
        <f t="shared" si="0"/>
        <v>32044757</v>
      </c>
    </row>
    <row r="25" spans="1:252" ht="23.25" customHeight="1" thickBot="1" x14ac:dyDescent="0.45">
      <c r="A25" s="1017" t="s">
        <v>80</v>
      </c>
      <c r="B25" s="1018"/>
      <c r="C25" s="1018"/>
      <c r="D25" s="1018"/>
      <c r="E25" s="1019"/>
      <c r="F25" s="171">
        <f>SUM(F24:F24)</f>
        <v>365</v>
      </c>
      <c r="G25" s="186">
        <f>SUM(G24:G24)</f>
        <v>40000000</v>
      </c>
      <c r="H25" s="187"/>
      <c r="I25" s="200">
        <f>I24</f>
        <v>7955243</v>
      </c>
      <c r="J25" s="201">
        <f t="shared" si="0"/>
        <v>32044757</v>
      </c>
    </row>
    <row r="26" spans="1:252" ht="0.75" hidden="1" customHeight="1" thickBot="1" x14ac:dyDescent="0.45">
      <c r="A26" s="1017">
        <v>1</v>
      </c>
      <c r="B26" s="1018">
        <v>500000000</v>
      </c>
      <c r="C26" s="1018">
        <v>0.08</v>
      </c>
      <c r="D26" s="1018">
        <v>43101</v>
      </c>
      <c r="E26" s="1019">
        <v>43465</v>
      </c>
      <c r="F26" s="190">
        <v>365</v>
      </c>
      <c r="G26" s="203">
        <f>B26*C26*F26/365</f>
        <v>40000000</v>
      </c>
      <c r="H26" s="204"/>
      <c r="I26" s="222">
        <v>1824890.22</v>
      </c>
      <c r="J26" s="206">
        <f t="shared" si="0"/>
        <v>38175109.780000001</v>
      </c>
    </row>
    <row r="27" spans="1:252" ht="22.5" customHeight="1" thickBot="1" x14ac:dyDescent="0.45">
      <c r="A27" s="1017" t="s">
        <v>81</v>
      </c>
      <c r="B27" s="1018"/>
      <c r="C27" s="1018"/>
      <c r="D27" s="1018"/>
      <c r="E27" s="1019"/>
      <c r="F27" s="171">
        <f>SUM(F26:F26)</f>
        <v>365</v>
      </c>
      <c r="G27" s="191">
        <f>SUM(G26:G26)</f>
        <v>40000000</v>
      </c>
      <c r="H27" s="192"/>
      <c r="I27" s="223">
        <f>I26</f>
        <v>1824890.22</v>
      </c>
      <c r="J27" s="224">
        <f t="shared" si="0"/>
        <v>38175109.780000001</v>
      </c>
    </row>
    <row r="28" spans="1:252" ht="21.75" hidden="1" thickBot="1" x14ac:dyDescent="0.45">
      <c r="A28" s="171">
        <v>1</v>
      </c>
      <c r="B28" s="225">
        <v>500000000</v>
      </c>
      <c r="C28" s="193">
        <v>0.08</v>
      </c>
      <c r="D28" s="79">
        <v>43466</v>
      </c>
      <c r="E28" s="194">
        <v>43733</v>
      </c>
      <c r="F28" s="195">
        <v>268</v>
      </c>
      <c r="G28" s="226">
        <f>(B28*C28*268)/365</f>
        <v>29369863.01369863</v>
      </c>
      <c r="H28" s="226"/>
      <c r="I28" s="227">
        <f>600000+450000</f>
        <v>1050000</v>
      </c>
      <c r="J28" s="227">
        <f t="shared" si="0"/>
        <v>28319863.01369863</v>
      </c>
    </row>
    <row r="29" spans="1:252" ht="21.75" hidden="1" thickBot="1" x14ac:dyDescent="0.45">
      <c r="A29" s="196">
        <v>2</v>
      </c>
      <c r="B29" s="226">
        <f>B28-H29</f>
        <v>496429496</v>
      </c>
      <c r="C29" s="193">
        <v>0.08</v>
      </c>
      <c r="D29" s="197">
        <v>43734</v>
      </c>
      <c r="E29" s="194">
        <v>43829</v>
      </c>
      <c r="F29" s="195">
        <v>96</v>
      </c>
      <c r="G29" s="226">
        <f>B29*C29*96/365</f>
        <v>10445420.628164383</v>
      </c>
      <c r="H29" s="226">
        <v>3570504</v>
      </c>
      <c r="I29" s="227"/>
      <c r="J29" s="227">
        <f>G29</f>
        <v>10445420.628164383</v>
      </c>
    </row>
    <row r="30" spans="1:252" ht="21.75" hidden="1" thickBot="1" x14ac:dyDescent="0.45">
      <c r="A30" s="171">
        <v>3</v>
      </c>
      <c r="B30" s="226">
        <f>B29-H30</f>
        <v>495985496</v>
      </c>
      <c r="C30" s="193">
        <v>0.08</v>
      </c>
      <c r="D30" s="79">
        <v>43830</v>
      </c>
      <c r="E30" s="194">
        <v>43830</v>
      </c>
      <c r="F30" s="195">
        <v>1</v>
      </c>
      <c r="G30" s="226">
        <f>B30*C30*1/365</f>
        <v>108709.14980821918</v>
      </c>
      <c r="H30" s="226">
        <v>444000</v>
      </c>
      <c r="I30" s="227">
        <v>63000</v>
      </c>
      <c r="J30" s="227">
        <f>G30-I30</f>
        <v>45709.149808219183</v>
      </c>
    </row>
    <row r="31" spans="1:252" ht="26.25" customHeight="1" thickBot="1" x14ac:dyDescent="0.45">
      <c r="A31" s="1020" t="s">
        <v>69</v>
      </c>
      <c r="B31" s="1021"/>
      <c r="C31" s="1021"/>
      <c r="D31" s="1021"/>
      <c r="E31" s="1022"/>
      <c r="F31" s="112">
        <v>365</v>
      </c>
      <c r="G31" s="113">
        <f>SUM(G28:G30)</f>
        <v>39923992.791671231</v>
      </c>
      <c r="H31" s="114">
        <f>SUM(H29:H30)</f>
        <v>4014504</v>
      </c>
      <c r="I31" s="113">
        <f>SUM(I28:I30)</f>
        <v>1113000</v>
      </c>
      <c r="J31" s="114">
        <f>J28+J29+J30</f>
        <v>38810992.791671231</v>
      </c>
    </row>
    <row r="32" spans="1:252" ht="33" hidden="1" customHeight="1" thickBot="1" x14ac:dyDescent="0.45">
      <c r="A32" s="53">
        <v>1</v>
      </c>
      <c r="B32" s="61">
        <f>B30</f>
        <v>495985496</v>
      </c>
      <c r="C32" s="58">
        <v>0.08</v>
      </c>
      <c r="D32" s="59">
        <v>43831</v>
      </c>
      <c r="E32" s="60">
        <v>43878</v>
      </c>
      <c r="F32" s="65">
        <f t="shared" ref="F32:F47" si="1">+E32-D32+1</f>
        <v>48</v>
      </c>
      <c r="G32" s="61">
        <f>(B32*C32*F32)/366</f>
        <v>5203782.2531147534</v>
      </c>
      <c r="H32" s="61">
        <v>0</v>
      </c>
      <c r="I32" s="62"/>
      <c r="J32" s="63">
        <f t="shared" ref="J32:J60" si="2">G32-I32</f>
        <v>5203782.2531147534</v>
      </c>
    </row>
    <row r="33" spans="1:10" ht="40.5" hidden="1" customHeight="1" thickBot="1" x14ac:dyDescent="0.45">
      <c r="A33" s="66">
        <v>2</v>
      </c>
      <c r="B33" s="61">
        <f>B32-H33</f>
        <v>495890615.13999999</v>
      </c>
      <c r="C33" s="55">
        <v>0.08</v>
      </c>
      <c r="D33" s="67">
        <v>43879</v>
      </c>
      <c r="E33" s="59">
        <v>43895</v>
      </c>
      <c r="F33" s="65">
        <f t="shared" si="1"/>
        <v>17</v>
      </c>
      <c r="G33" s="61">
        <f>B33*C33*F33/366</f>
        <v>1842653.6518863388</v>
      </c>
      <c r="H33" s="61">
        <v>94880.86</v>
      </c>
      <c r="I33" s="62"/>
      <c r="J33" s="63">
        <f t="shared" si="2"/>
        <v>1842653.6518863388</v>
      </c>
    </row>
    <row r="34" spans="1:10" ht="40.5" hidden="1" customHeight="1" thickBot="1" x14ac:dyDescent="0.45">
      <c r="A34" s="64">
        <v>3</v>
      </c>
      <c r="B34" s="57">
        <f>B33-H34</f>
        <v>495840615.13999999</v>
      </c>
      <c r="C34" s="55">
        <v>0.08</v>
      </c>
      <c r="D34" s="56">
        <v>43896</v>
      </c>
      <c r="E34" s="68">
        <v>43906</v>
      </c>
      <c r="F34" s="65">
        <f t="shared" si="1"/>
        <v>11</v>
      </c>
      <c r="G34" s="61">
        <f>B34*C34*F34/366</f>
        <v>1192185.0855825136</v>
      </c>
      <c r="H34" s="61">
        <v>50000</v>
      </c>
      <c r="I34" s="62"/>
      <c r="J34" s="63">
        <f t="shared" si="2"/>
        <v>1192185.0855825136</v>
      </c>
    </row>
    <row r="35" spans="1:10" ht="40.5" hidden="1" customHeight="1" thickBot="1" x14ac:dyDescent="0.45">
      <c r="A35" s="66">
        <v>4</v>
      </c>
      <c r="B35" s="61">
        <f>B34-H35</f>
        <v>495315615.13999999</v>
      </c>
      <c r="C35" s="55">
        <v>0.08</v>
      </c>
      <c r="D35" s="67">
        <v>43907</v>
      </c>
      <c r="E35" s="59">
        <v>43909</v>
      </c>
      <c r="F35" s="65">
        <f t="shared" si="1"/>
        <v>3</v>
      </c>
      <c r="G35" s="61">
        <f t="shared" ref="G35:G47" si="3">(B35*C35*F35)/366</f>
        <v>324797.12468196719</v>
      </c>
      <c r="H35" s="61">
        <v>525000</v>
      </c>
      <c r="I35" s="62"/>
      <c r="J35" s="63">
        <f t="shared" si="2"/>
        <v>324797.12468196719</v>
      </c>
    </row>
    <row r="36" spans="1:10" ht="40.5" hidden="1" customHeight="1" thickBot="1" x14ac:dyDescent="0.45">
      <c r="A36" s="66">
        <v>5</v>
      </c>
      <c r="B36" s="61">
        <f>B35-H36</f>
        <v>494985615.13999999</v>
      </c>
      <c r="C36" s="55">
        <v>0.08</v>
      </c>
      <c r="D36" s="67">
        <v>43910</v>
      </c>
      <c r="E36" s="59">
        <v>43917</v>
      </c>
      <c r="F36" s="65">
        <f t="shared" si="1"/>
        <v>8</v>
      </c>
      <c r="G36" s="61">
        <f t="shared" si="3"/>
        <v>865548.61663825135</v>
      </c>
      <c r="H36" s="61">
        <v>330000</v>
      </c>
      <c r="I36" s="62"/>
      <c r="J36" s="63">
        <f t="shared" si="2"/>
        <v>865548.61663825135</v>
      </c>
    </row>
    <row r="37" spans="1:10" ht="40.5" hidden="1" customHeight="1" thickBot="1" x14ac:dyDescent="0.45">
      <c r="A37" s="66">
        <v>6</v>
      </c>
      <c r="B37" s="61">
        <f>B36-H37</f>
        <v>494785615.13999999</v>
      </c>
      <c r="C37" s="69">
        <v>0.08</v>
      </c>
      <c r="D37" s="67">
        <v>43918</v>
      </c>
      <c r="E37" s="59">
        <v>43921</v>
      </c>
      <c r="F37" s="65">
        <f t="shared" si="1"/>
        <v>4</v>
      </c>
      <c r="G37" s="61">
        <f t="shared" si="3"/>
        <v>432599.4449311475</v>
      </c>
      <c r="H37" s="70">
        <v>200000</v>
      </c>
      <c r="I37" s="62"/>
      <c r="J37" s="63">
        <f t="shared" si="2"/>
        <v>432599.4449311475</v>
      </c>
    </row>
    <row r="38" spans="1:10" ht="40.5" hidden="1" customHeight="1" thickBot="1" x14ac:dyDescent="0.45">
      <c r="A38" s="66">
        <v>7</v>
      </c>
      <c r="B38" s="61">
        <f t="shared" ref="B38:B58" si="4">B37-H38</f>
        <v>494407615.13999999</v>
      </c>
      <c r="C38" s="69">
        <v>0.08</v>
      </c>
      <c r="D38" s="59">
        <v>43922</v>
      </c>
      <c r="E38" s="67">
        <v>43935</v>
      </c>
      <c r="F38" s="65">
        <f t="shared" si="1"/>
        <v>14</v>
      </c>
      <c r="G38" s="61">
        <f t="shared" si="3"/>
        <v>1512941.3359475411</v>
      </c>
      <c r="H38" s="70">
        <v>378000</v>
      </c>
      <c r="I38" s="62"/>
      <c r="J38" s="63">
        <f t="shared" si="2"/>
        <v>1512941.3359475411</v>
      </c>
    </row>
    <row r="39" spans="1:10" ht="0.75" hidden="1" customHeight="1" thickBot="1" x14ac:dyDescent="0.45">
      <c r="A39" s="66">
        <v>8</v>
      </c>
      <c r="B39" s="61">
        <f t="shared" si="4"/>
        <v>494312615.13999999</v>
      </c>
      <c r="C39" s="69">
        <v>0.08</v>
      </c>
      <c r="D39" s="59">
        <v>43936</v>
      </c>
      <c r="E39" s="67">
        <v>43940</v>
      </c>
      <c r="F39" s="65">
        <f t="shared" si="1"/>
        <v>5</v>
      </c>
      <c r="G39" s="61">
        <f t="shared" si="3"/>
        <v>540232.366273224</v>
      </c>
      <c r="H39" s="70">
        <v>95000</v>
      </c>
      <c r="I39" s="62"/>
      <c r="J39" s="63">
        <f t="shared" si="2"/>
        <v>540232.366273224</v>
      </c>
    </row>
    <row r="40" spans="1:10" ht="40.5" hidden="1" customHeight="1" thickBot="1" x14ac:dyDescent="0.45">
      <c r="A40" s="66">
        <v>9</v>
      </c>
      <c r="B40" s="61">
        <f t="shared" si="4"/>
        <v>494082615.13999999</v>
      </c>
      <c r="C40" s="69">
        <v>0.08</v>
      </c>
      <c r="D40" s="59">
        <v>43941</v>
      </c>
      <c r="E40" s="59">
        <v>43941</v>
      </c>
      <c r="F40" s="65">
        <f t="shared" si="1"/>
        <v>1</v>
      </c>
      <c r="G40" s="61">
        <f t="shared" si="3"/>
        <v>107996.20003060109</v>
      </c>
      <c r="H40" s="70">
        <v>230000</v>
      </c>
      <c r="I40" s="62"/>
      <c r="J40" s="63">
        <f t="shared" si="2"/>
        <v>107996.20003060109</v>
      </c>
    </row>
    <row r="41" spans="1:10" ht="40.5" hidden="1" customHeight="1" thickBot="1" x14ac:dyDescent="0.45">
      <c r="A41" s="66">
        <v>10</v>
      </c>
      <c r="B41" s="61">
        <f t="shared" si="4"/>
        <v>492982615.13999999</v>
      </c>
      <c r="C41" s="69">
        <v>0.08</v>
      </c>
      <c r="D41" s="59">
        <v>43942</v>
      </c>
      <c r="E41" s="67">
        <v>43942</v>
      </c>
      <c r="F41" s="65">
        <f t="shared" si="1"/>
        <v>1</v>
      </c>
      <c r="G41" s="61">
        <f t="shared" si="3"/>
        <v>107755.76287213115</v>
      </c>
      <c r="H41" s="70">
        <v>1100000</v>
      </c>
      <c r="I41" s="62"/>
      <c r="J41" s="63">
        <f t="shared" si="2"/>
        <v>107755.76287213115</v>
      </c>
    </row>
    <row r="42" spans="1:10" ht="40.5" hidden="1" customHeight="1" thickBot="1" x14ac:dyDescent="0.45">
      <c r="A42" s="66">
        <v>11</v>
      </c>
      <c r="B42" s="61">
        <f t="shared" si="4"/>
        <v>492877615.13999999</v>
      </c>
      <c r="C42" s="69">
        <v>0.08</v>
      </c>
      <c r="D42" s="59">
        <v>43943</v>
      </c>
      <c r="E42" s="67">
        <v>43948</v>
      </c>
      <c r="F42" s="65">
        <f t="shared" si="1"/>
        <v>6</v>
      </c>
      <c r="G42" s="61">
        <f t="shared" si="3"/>
        <v>646396.87231475406</v>
      </c>
      <c r="H42" s="70">
        <v>105000</v>
      </c>
      <c r="I42" s="62"/>
      <c r="J42" s="63">
        <f t="shared" si="2"/>
        <v>646396.87231475406</v>
      </c>
    </row>
    <row r="43" spans="1:10" ht="40.5" hidden="1" customHeight="1" thickBot="1" x14ac:dyDescent="0.45">
      <c r="A43" s="66">
        <v>12</v>
      </c>
      <c r="B43" s="61">
        <f t="shared" si="4"/>
        <v>492842615.13999999</v>
      </c>
      <c r="C43" s="69">
        <v>0.08</v>
      </c>
      <c r="D43" s="59">
        <v>43949</v>
      </c>
      <c r="E43" s="67">
        <v>43950</v>
      </c>
      <c r="F43" s="65">
        <f>+E43-D43+1</f>
        <v>2</v>
      </c>
      <c r="G43" s="61">
        <f t="shared" si="3"/>
        <v>215450.32355846994</v>
      </c>
      <c r="H43" s="70">
        <v>35000</v>
      </c>
      <c r="I43" s="62"/>
      <c r="J43" s="63">
        <f t="shared" si="2"/>
        <v>215450.32355846994</v>
      </c>
    </row>
    <row r="44" spans="1:10" ht="40.5" hidden="1" customHeight="1" thickBot="1" x14ac:dyDescent="0.45">
      <c r="A44" s="66">
        <v>13</v>
      </c>
      <c r="B44" s="61">
        <f t="shared" si="4"/>
        <v>492832615.13999999</v>
      </c>
      <c r="C44" s="69">
        <v>0.08</v>
      </c>
      <c r="D44" s="59">
        <v>43951</v>
      </c>
      <c r="E44" s="67">
        <v>43962</v>
      </c>
      <c r="F44" s="65">
        <f>+E44-D44+1</f>
        <v>12</v>
      </c>
      <c r="G44" s="61">
        <f t="shared" si="3"/>
        <v>1292675.7118426228</v>
      </c>
      <c r="H44" s="70">
        <v>10000</v>
      </c>
      <c r="I44" s="62"/>
      <c r="J44" s="63">
        <f t="shared" si="2"/>
        <v>1292675.7118426228</v>
      </c>
    </row>
    <row r="45" spans="1:10" ht="40.5" hidden="1" customHeight="1" thickBot="1" x14ac:dyDescent="0.45">
      <c r="A45" s="66">
        <v>14</v>
      </c>
      <c r="B45" s="61">
        <f t="shared" si="4"/>
        <v>492526615.13999999</v>
      </c>
      <c r="C45" s="69">
        <v>0.08</v>
      </c>
      <c r="D45" s="59">
        <v>43963</v>
      </c>
      <c r="E45" s="67">
        <v>43984</v>
      </c>
      <c r="F45" s="65">
        <f t="shared" si="1"/>
        <v>22</v>
      </c>
      <c r="G45" s="61">
        <f t="shared" si="3"/>
        <v>2368433.9963016394</v>
      </c>
      <c r="H45" s="70">
        <v>306000</v>
      </c>
      <c r="I45" s="62"/>
      <c r="J45" s="63">
        <f t="shared" si="2"/>
        <v>2368433.9963016394</v>
      </c>
    </row>
    <row r="46" spans="1:10" ht="40.5" hidden="1" customHeight="1" thickBot="1" x14ac:dyDescent="0.45">
      <c r="A46" s="66">
        <v>15</v>
      </c>
      <c r="B46" s="61">
        <f t="shared" si="4"/>
        <v>492521615.13999999</v>
      </c>
      <c r="C46" s="69">
        <v>0.08</v>
      </c>
      <c r="D46" s="59">
        <v>43985</v>
      </c>
      <c r="E46" s="67">
        <v>44004</v>
      </c>
      <c r="F46" s="65">
        <f>+E46-D46+1</f>
        <v>20</v>
      </c>
      <c r="G46" s="61">
        <f t="shared" si="3"/>
        <v>2153099.9568961747</v>
      </c>
      <c r="H46" s="70">
        <v>5000</v>
      </c>
      <c r="I46" s="62"/>
      <c r="J46" s="63">
        <f t="shared" si="2"/>
        <v>2153099.9568961747</v>
      </c>
    </row>
    <row r="47" spans="1:10" ht="39.75" hidden="1" customHeight="1" thickBot="1" x14ac:dyDescent="0.45">
      <c r="A47" s="66">
        <v>16</v>
      </c>
      <c r="B47" s="61">
        <f t="shared" si="4"/>
        <v>491221615.13999999</v>
      </c>
      <c r="C47" s="69">
        <v>0.08</v>
      </c>
      <c r="D47" s="59">
        <v>44005</v>
      </c>
      <c r="E47" s="67">
        <v>44012</v>
      </c>
      <c r="F47" s="65">
        <f t="shared" si="1"/>
        <v>8</v>
      </c>
      <c r="G47" s="61">
        <f t="shared" si="3"/>
        <v>858966.75871475402</v>
      </c>
      <c r="H47" s="70">
        <v>1300000</v>
      </c>
      <c r="I47" s="62"/>
      <c r="J47" s="63">
        <f t="shared" si="2"/>
        <v>858966.75871475402</v>
      </c>
    </row>
    <row r="48" spans="1:10" ht="40.5" hidden="1" customHeight="1" thickBot="1" x14ac:dyDescent="0.45">
      <c r="A48" s="66">
        <v>17</v>
      </c>
      <c r="B48" s="61">
        <f t="shared" si="4"/>
        <v>491114615.13999999</v>
      </c>
      <c r="C48" s="69">
        <v>0.08</v>
      </c>
      <c r="D48" s="59">
        <v>44013</v>
      </c>
      <c r="E48" s="67">
        <v>44013</v>
      </c>
      <c r="F48" s="65">
        <f>+E48-D48+1</f>
        <v>1</v>
      </c>
      <c r="G48" s="61">
        <f>(B48*C48*F48)/366</f>
        <v>107347.45686120218</v>
      </c>
      <c r="H48" s="70">
        <v>107000</v>
      </c>
      <c r="I48" s="62"/>
      <c r="J48" s="63">
        <f t="shared" si="2"/>
        <v>107347.45686120218</v>
      </c>
    </row>
    <row r="49" spans="1:10" ht="40.5" hidden="1" customHeight="1" thickBot="1" x14ac:dyDescent="0.45">
      <c r="A49" s="66">
        <v>18</v>
      </c>
      <c r="B49" s="61">
        <f t="shared" si="4"/>
        <v>491114615.13999999</v>
      </c>
      <c r="C49" s="69">
        <v>0.08</v>
      </c>
      <c r="D49" s="59">
        <v>44014</v>
      </c>
      <c r="E49" s="67">
        <v>44043</v>
      </c>
      <c r="F49" s="65">
        <f t="shared" ref="F49:F61" si="5">+E49-D49+1</f>
        <v>30</v>
      </c>
      <c r="G49" s="61">
        <f t="shared" ref="G49:G60" si="6">(B49*C49*F49)/366</f>
        <v>3220423.7058360656</v>
      </c>
      <c r="H49" s="70">
        <v>0</v>
      </c>
      <c r="I49" s="62"/>
      <c r="J49" s="63">
        <f t="shared" si="2"/>
        <v>3220423.7058360656</v>
      </c>
    </row>
    <row r="50" spans="1:10" ht="40.5" hidden="1" customHeight="1" thickBot="1" x14ac:dyDescent="0.45">
      <c r="A50" s="66">
        <v>19</v>
      </c>
      <c r="B50" s="61">
        <f t="shared" si="4"/>
        <v>491114615.13999999</v>
      </c>
      <c r="C50" s="69">
        <v>0.08</v>
      </c>
      <c r="D50" s="59">
        <v>44044</v>
      </c>
      <c r="E50" s="67">
        <v>44052</v>
      </c>
      <c r="F50" s="65">
        <f t="shared" si="5"/>
        <v>9</v>
      </c>
      <c r="G50" s="61">
        <f t="shared" si="6"/>
        <v>966127.1117508196</v>
      </c>
      <c r="H50" s="70">
        <v>0</v>
      </c>
      <c r="I50" s="62"/>
      <c r="J50" s="63">
        <f t="shared" si="2"/>
        <v>966127.1117508196</v>
      </c>
    </row>
    <row r="51" spans="1:10" ht="40.5" hidden="1" customHeight="1" thickBot="1" x14ac:dyDescent="0.45">
      <c r="A51" s="66">
        <v>20</v>
      </c>
      <c r="B51" s="61">
        <f t="shared" si="4"/>
        <v>491112615.13999999</v>
      </c>
      <c r="C51" s="69">
        <v>0.08</v>
      </c>
      <c r="D51" s="59">
        <v>44053</v>
      </c>
      <c r="E51" s="67">
        <v>44062</v>
      </c>
      <c r="F51" s="65">
        <f t="shared" si="5"/>
        <v>10</v>
      </c>
      <c r="G51" s="61">
        <f t="shared" si="6"/>
        <v>1073470.1970273224</v>
      </c>
      <c r="H51" s="70">
        <v>2000</v>
      </c>
      <c r="I51" s="62"/>
      <c r="J51" s="63">
        <f t="shared" si="2"/>
        <v>1073470.1970273224</v>
      </c>
    </row>
    <row r="52" spans="1:10" s="72" customFormat="1" ht="40.5" hidden="1" customHeight="1" thickBot="1" x14ac:dyDescent="0.45">
      <c r="A52" s="66">
        <v>21</v>
      </c>
      <c r="B52" s="61">
        <f t="shared" si="4"/>
        <v>490062615.13999999</v>
      </c>
      <c r="C52" s="69">
        <v>0.08</v>
      </c>
      <c r="D52" s="59">
        <v>44063</v>
      </c>
      <c r="E52" s="67">
        <v>44074</v>
      </c>
      <c r="F52" s="65">
        <f t="shared" si="5"/>
        <v>12</v>
      </c>
      <c r="G52" s="61">
        <f>(B52*C52*F52)/366</f>
        <v>1285410.1380721312</v>
      </c>
      <c r="H52" s="70">
        <v>1050000</v>
      </c>
      <c r="I52" s="62"/>
      <c r="J52" s="63">
        <f t="shared" si="2"/>
        <v>1285410.1380721312</v>
      </c>
    </row>
    <row r="53" spans="1:10" ht="40.5" hidden="1" customHeight="1" thickBot="1" x14ac:dyDescent="0.45">
      <c r="A53" s="66">
        <v>22</v>
      </c>
      <c r="B53" s="61">
        <f t="shared" si="4"/>
        <v>490062615.13999999</v>
      </c>
      <c r="C53" s="69">
        <v>0.08</v>
      </c>
      <c r="D53" s="59">
        <v>44075</v>
      </c>
      <c r="E53" s="67">
        <v>44104</v>
      </c>
      <c r="F53" s="65">
        <f t="shared" si="5"/>
        <v>30</v>
      </c>
      <c r="G53" s="61">
        <f t="shared" si="6"/>
        <v>3213525.345180328</v>
      </c>
      <c r="H53" s="70">
        <v>0</v>
      </c>
      <c r="I53" s="62"/>
      <c r="J53" s="63">
        <f t="shared" si="2"/>
        <v>3213525.345180328</v>
      </c>
    </row>
    <row r="54" spans="1:10" ht="40.5" hidden="1" customHeight="1" thickBot="1" x14ac:dyDescent="0.45">
      <c r="A54" s="66">
        <v>23</v>
      </c>
      <c r="B54" s="61">
        <f t="shared" si="4"/>
        <v>490062615.13999999</v>
      </c>
      <c r="C54" s="69">
        <v>0.08</v>
      </c>
      <c r="D54" s="59">
        <v>44105</v>
      </c>
      <c r="E54" s="67">
        <v>44129</v>
      </c>
      <c r="F54" s="65">
        <f t="shared" si="5"/>
        <v>25</v>
      </c>
      <c r="G54" s="61">
        <f t="shared" si="6"/>
        <v>2677937.7876502732</v>
      </c>
      <c r="H54" s="70"/>
      <c r="I54" s="62"/>
      <c r="J54" s="63">
        <f t="shared" si="2"/>
        <v>2677937.7876502732</v>
      </c>
    </row>
    <row r="55" spans="1:10" ht="40.5" hidden="1" customHeight="1" thickBot="1" x14ac:dyDescent="0.45">
      <c r="A55" s="66">
        <v>24</v>
      </c>
      <c r="B55" s="61">
        <f t="shared" si="4"/>
        <v>489403615.13999999</v>
      </c>
      <c r="C55" s="69">
        <v>0.08</v>
      </c>
      <c r="D55" s="59">
        <v>44130</v>
      </c>
      <c r="E55" s="67">
        <v>44135</v>
      </c>
      <c r="F55" s="65">
        <f t="shared" si="5"/>
        <v>6</v>
      </c>
      <c r="G55" s="61">
        <f t="shared" si="6"/>
        <v>641840.80674098362</v>
      </c>
      <c r="H55" s="70">
        <v>659000</v>
      </c>
      <c r="I55" s="62"/>
      <c r="J55" s="63">
        <f>G55-I55</f>
        <v>641840.80674098362</v>
      </c>
    </row>
    <row r="56" spans="1:10" ht="9.75" hidden="1" customHeight="1" thickBot="1" x14ac:dyDescent="0.45">
      <c r="A56" s="66">
        <v>25</v>
      </c>
      <c r="B56" s="61">
        <f t="shared" si="4"/>
        <v>489403615.13999999</v>
      </c>
      <c r="C56" s="69">
        <v>0.08</v>
      </c>
      <c r="D56" s="59">
        <v>44136</v>
      </c>
      <c r="E56" s="67">
        <v>44147</v>
      </c>
      <c r="F56" s="65">
        <f t="shared" si="5"/>
        <v>12</v>
      </c>
      <c r="G56" s="61">
        <f t="shared" si="6"/>
        <v>1283681.6134819672</v>
      </c>
      <c r="H56" s="70">
        <v>0</v>
      </c>
      <c r="I56" s="62"/>
      <c r="J56" s="63">
        <f t="shared" si="2"/>
        <v>1283681.6134819672</v>
      </c>
    </row>
    <row r="57" spans="1:10" ht="40.5" hidden="1" customHeight="1" thickBot="1" x14ac:dyDescent="0.45">
      <c r="A57" s="66">
        <v>26</v>
      </c>
      <c r="B57" s="61">
        <f t="shared" si="4"/>
        <v>486228615.13999999</v>
      </c>
      <c r="C57" s="69">
        <v>0.08</v>
      </c>
      <c r="D57" s="59">
        <v>44148</v>
      </c>
      <c r="E57" s="67">
        <v>44150</v>
      </c>
      <c r="F57" s="65">
        <f t="shared" si="5"/>
        <v>3</v>
      </c>
      <c r="G57" s="61">
        <f t="shared" si="6"/>
        <v>318838.43615737703</v>
      </c>
      <c r="H57" s="70">
        <v>3175000</v>
      </c>
      <c r="I57" s="62"/>
      <c r="J57" s="63">
        <f t="shared" si="2"/>
        <v>318838.43615737703</v>
      </c>
    </row>
    <row r="58" spans="1:10" ht="40.5" hidden="1" customHeight="1" thickBot="1" x14ac:dyDescent="0.45">
      <c r="A58" s="66">
        <v>27</v>
      </c>
      <c r="B58" s="61">
        <f t="shared" si="4"/>
        <v>486163615.13999999</v>
      </c>
      <c r="C58" s="69">
        <v>0.08</v>
      </c>
      <c r="D58" s="59">
        <v>44151</v>
      </c>
      <c r="E58" s="67">
        <v>44165</v>
      </c>
      <c r="F58" s="65">
        <f t="shared" si="5"/>
        <v>15</v>
      </c>
      <c r="G58" s="61">
        <f t="shared" si="6"/>
        <v>1593979.0660327869</v>
      </c>
      <c r="H58" s="70">
        <v>65000</v>
      </c>
      <c r="I58" s="62"/>
      <c r="J58" s="63">
        <f t="shared" si="2"/>
        <v>1593979.0660327869</v>
      </c>
    </row>
    <row r="59" spans="1:10" ht="40.5" hidden="1" customHeight="1" thickBot="1" x14ac:dyDescent="0.45">
      <c r="A59" s="66">
        <v>28</v>
      </c>
      <c r="B59" s="61">
        <f>B58-H59</f>
        <v>486163615.13999999</v>
      </c>
      <c r="C59" s="69">
        <v>0.08</v>
      </c>
      <c r="D59" s="59">
        <v>44166</v>
      </c>
      <c r="E59" s="67">
        <v>44182</v>
      </c>
      <c r="F59" s="65">
        <f t="shared" si="5"/>
        <v>17</v>
      </c>
      <c r="G59" s="61">
        <f t="shared" si="6"/>
        <v>1806509.6081704916</v>
      </c>
      <c r="H59" s="70">
        <v>0</v>
      </c>
      <c r="I59" s="62"/>
      <c r="J59" s="63">
        <f t="shared" si="2"/>
        <v>1806509.6081704916</v>
      </c>
    </row>
    <row r="60" spans="1:10" ht="40.5" hidden="1" customHeight="1" thickBot="1" x14ac:dyDescent="0.45">
      <c r="A60" s="66">
        <v>29</v>
      </c>
      <c r="B60" s="61">
        <f>B59-H60</f>
        <v>484163615.13999999</v>
      </c>
      <c r="C60" s="69">
        <v>0.08</v>
      </c>
      <c r="D60" s="59">
        <v>44183</v>
      </c>
      <c r="E60" s="67">
        <v>44187</v>
      </c>
      <c r="F60" s="65">
        <f>+E60-D60+1</f>
        <v>5</v>
      </c>
      <c r="G60" s="61">
        <f t="shared" si="6"/>
        <v>529140.56299453555</v>
      </c>
      <c r="H60" s="70">
        <v>2000000</v>
      </c>
      <c r="I60" s="62"/>
      <c r="J60" s="63">
        <f t="shared" si="2"/>
        <v>529140.56299453555</v>
      </c>
    </row>
    <row r="61" spans="1:10" ht="18" hidden="1" customHeight="1" thickBot="1" x14ac:dyDescent="0.45">
      <c r="A61" s="66">
        <v>30</v>
      </c>
      <c r="B61" s="61">
        <f>B60-H61</f>
        <v>483610935.13999999</v>
      </c>
      <c r="C61" s="69">
        <v>0.08</v>
      </c>
      <c r="D61" s="59">
        <v>44188</v>
      </c>
      <c r="E61" s="67">
        <v>44196</v>
      </c>
      <c r="F61" s="65">
        <f t="shared" si="5"/>
        <v>9</v>
      </c>
      <c r="G61" s="61">
        <f>(B61*C61*F61)/366</f>
        <v>951365.77404590172</v>
      </c>
      <c r="H61" s="70">
        <v>552680</v>
      </c>
      <c r="I61" s="61">
        <v>320</v>
      </c>
      <c r="J61" s="63">
        <f>G61-I61</f>
        <v>951045.77404590172</v>
      </c>
    </row>
    <row r="62" spans="1:10" ht="24.75" customHeight="1" thickBot="1" x14ac:dyDescent="0.45">
      <c r="A62" s="1008" t="s">
        <v>68</v>
      </c>
      <c r="B62" s="1009"/>
      <c r="C62" s="1009"/>
      <c r="D62" s="1009"/>
      <c r="E62" s="1010"/>
      <c r="F62" s="87">
        <f>SUM(F32:F61)</f>
        <v>366</v>
      </c>
      <c r="G62" s="88">
        <f>SUM(G32:G61)</f>
        <v>39335113.071589068</v>
      </c>
      <c r="H62" s="89">
        <f>SUM(H32:H61)</f>
        <v>12374560.859999999</v>
      </c>
      <c r="I62" s="90">
        <f>SUM(I53:I61)</f>
        <v>320</v>
      </c>
      <c r="J62" s="91">
        <f>SUM(J32:J61)</f>
        <v>39334793.071589068</v>
      </c>
    </row>
    <row r="63" spans="1:10" ht="29.25" hidden="1" customHeight="1" thickBot="1" x14ac:dyDescent="0.45">
      <c r="A63" s="530">
        <v>1</v>
      </c>
      <c r="B63" s="86">
        <f>B61-H63</f>
        <v>483610935.13999999</v>
      </c>
      <c r="C63" s="78">
        <v>0.08</v>
      </c>
      <c r="D63" s="79">
        <v>44197</v>
      </c>
      <c r="E63" s="80">
        <v>44561</v>
      </c>
      <c r="F63" s="92">
        <f>+E63-D63+1</f>
        <v>365</v>
      </c>
      <c r="G63" s="77">
        <f>(B63*C63*F63)/365</f>
        <v>38688874.8112</v>
      </c>
      <c r="H63" s="81">
        <v>0</v>
      </c>
      <c r="I63" s="81">
        <v>0</v>
      </c>
      <c r="J63" s="82">
        <f>G63-I63</f>
        <v>38688874.8112</v>
      </c>
    </row>
    <row r="64" spans="1:10" ht="25.5" customHeight="1" thickBot="1" x14ac:dyDescent="0.45">
      <c r="A64" s="1008" t="s">
        <v>70</v>
      </c>
      <c r="B64" s="1009"/>
      <c r="C64" s="1009"/>
      <c r="D64" s="1009"/>
      <c r="E64" s="1010"/>
      <c r="F64" s="137">
        <f>+F63</f>
        <v>365</v>
      </c>
      <c r="G64" s="138">
        <f>+G63</f>
        <v>38688874.8112</v>
      </c>
      <c r="H64" s="139">
        <f>+H63</f>
        <v>0</v>
      </c>
      <c r="I64" s="139">
        <f>+I63</f>
        <v>0</v>
      </c>
      <c r="J64" s="140">
        <f>+J63</f>
        <v>38688874.8112</v>
      </c>
    </row>
    <row r="65" spans="1:10" ht="0.75" hidden="1" customHeight="1" thickBot="1" x14ac:dyDescent="0.45">
      <c r="A65" s="530">
        <v>1</v>
      </c>
      <c r="B65" s="86">
        <f>+B63</f>
        <v>483610935.13999999</v>
      </c>
      <c r="C65" s="78">
        <v>0.08</v>
      </c>
      <c r="D65" s="79">
        <v>44562</v>
      </c>
      <c r="E65" s="80">
        <v>44834</v>
      </c>
      <c r="F65" s="92">
        <f>+E65-D65+1</f>
        <v>273</v>
      </c>
      <c r="G65" s="77">
        <f>(B65*C65*F65)/365</f>
        <v>28937158.420431782</v>
      </c>
      <c r="H65" s="81">
        <v>0</v>
      </c>
      <c r="I65" s="81">
        <v>0</v>
      </c>
      <c r="J65" s="82">
        <f>+G65-I65</f>
        <v>28937158.420431782</v>
      </c>
    </row>
    <row r="66" spans="1:10" ht="21.75" hidden="1" customHeight="1" thickBot="1" x14ac:dyDescent="0.45">
      <c r="A66" s="530">
        <v>2</v>
      </c>
      <c r="B66" s="86">
        <f>+B65-H66</f>
        <v>483610935.13999999</v>
      </c>
      <c r="C66" s="78">
        <v>0.08</v>
      </c>
      <c r="D66" s="79">
        <v>44835</v>
      </c>
      <c r="E66" s="80">
        <v>44850</v>
      </c>
      <c r="F66" s="92">
        <f>+E66-D66+1</f>
        <v>16</v>
      </c>
      <c r="G66" s="77">
        <f>(B66*C66*F66)/365</f>
        <v>1695950.6766553426</v>
      </c>
      <c r="H66" s="81">
        <v>0</v>
      </c>
      <c r="I66" s="81">
        <v>0</v>
      </c>
      <c r="J66" s="82">
        <f>+G66-I66</f>
        <v>1695950.6766553426</v>
      </c>
    </row>
    <row r="67" spans="1:10" ht="21.75" hidden="1" customHeight="1" thickBot="1" x14ac:dyDescent="0.45">
      <c r="A67" s="530">
        <v>3</v>
      </c>
      <c r="B67" s="86">
        <f>+B66-H67</f>
        <v>479721766.94</v>
      </c>
      <c r="C67" s="78">
        <v>0.08</v>
      </c>
      <c r="D67" s="79">
        <v>44851</v>
      </c>
      <c r="E67" s="79">
        <v>44851</v>
      </c>
      <c r="F67" s="92">
        <f>+E67-D67+1</f>
        <v>1</v>
      </c>
      <c r="G67" s="77">
        <f>(B67*C67*F67)/365</f>
        <v>105144.49686356164</v>
      </c>
      <c r="H67" s="136">
        <v>3889168.2</v>
      </c>
      <c r="I67" s="81">
        <v>0</v>
      </c>
      <c r="J67" s="82">
        <f>+G67-I67</f>
        <v>105144.49686356164</v>
      </c>
    </row>
    <row r="68" spans="1:10" ht="24" hidden="1" customHeight="1" thickBot="1" x14ac:dyDescent="0.45">
      <c r="A68" s="530">
        <v>4</v>
      </c>
      <c r="B68" s="86">
        <f>+B67-H68</f>
        <v>477351420.60000002</v>
      </c>
      <c r="C68" s="78">
        <v>0.08</v>
      </c>
      <c r="D68" s="79">
        <v>44852</v>
      </c>
      <c r="E68" s="80">
        <v>44895</v>
      </c>
      <c r="F68" s="92">
        <f>+E68-D68+1</f>
        <v>44</v>
      </c>
      <c r="G68" s="77">
        <f>(B68*C68*F68)/365</f>
        <v>4603498.6315397266</v>
      </c>
      <c r="H68" s="136">
        <v>2370346.34</v>
      </c>
      <c r="I68" s="81">
        <v>0</v>
      </c>
      <c r="J68" s="82">
        <f>+G68-I68</f>
        <v>4603498.6315397266</v>
      </c>
    </row>
    <row r="69" spans="1:10" ht="24.75" hidden="1" customHeight="1" thickBot="1" x14ac:dyDescent="0.45">
      <c r="A69" s="530">
        <v>5</v>
      </c>
      <c r="B69" s="86">
        <f>+B68-H69</f>
        <v>477351420.60000002</v>
      </c>
      <c r="C69" s="78">
        <v>0.08</v>
      </c>
      <c r="D69" s="79">
        <v>44896</v>
      </c>
      <c r="E69" s="80">
        <v>44926</v>
      </c>
      <c r="F69" s="92">
        <f>+E69-D69+1</f>
        <v>31</v>
      </c>
      <c r="G69" s="77">
        <f>(B69*C69*F69)/365</f>
        <v>3243374.0358575345</v>
      </c>
      <c r="H69" s="81">
        <v>0</v>
      </c>
      <c r="I69" s="81">
        <v>0</v>
      </c>
      <c r="J69" s="82">
        <f>+G69-I69</f>
        <v>3243374.0358575345</v>
      </c>
    </row>
    <row r="70" spans="1:10" ht="27.75" customHeight="1" thickBot="1" x14ac:dyDescent="0.45">
      <c r="A70" s="1011" t="s">
        <v>92</v>
      </c>
      <c r="B70" s="1012"/>
      <c r="C70" s="1012"/>
      <c r="D70" s="1012"/>
      <c r="E70" s="1013"/>
      <c r="F70" s="106">
        <f>SUM(F65:F69)</f>
        <v>365</v>
      </c>
      <c r="G70" s="107">
        <f>SUM(G65:G69)</f>
        <v>38585126.26134795</v>
      </c>
      <c r="H70" s="108">
        <f>+H65+H67+H68+H66+H69+H71</f>
        <v>6259514.54</v>
      </c>
      <c r="I70" s="108">
        <f>+I65+I67+I68+I66+I69+I71</f>
        <v>0</v>
      </c>
      <c r="J70" s="109">
        <f>SUM(J65:J69)</f>
        <v>38585126.26134795</v>
      </c>
    </row>
    <row r="71" spans="1:10" ht="23.25" customHeight="1" thickBot="1" x14ac:dyDescent="0.45">
      <c r="A71" s="530">
        <v>1</v>
      </c>
      <c r="B71" s="86">
        <f>+B69-H71</f>
        <v>477351420.60000002</v>
      </c>
      <c r="C71" s="78">
        <v>0.08</v>
      </c>
      <c r="D71" s="79">
        <v>44927</v>
      </c>
      <c r="E71" s="80">
        <v>45043</v>
      </c>
      <c r="F71" s="92">
        <f>+E71-D71+1</f>
        <v>117</v>
      </c>
      <c r="G71" s="77">
        <f>(B71*C71*F71)/365</f>
        <v>12241121.361139726</v>
      </c>
      <c r="H71" s="81">
        <v>0</v>
      </c>
      <c r="I71" s="81">
        <v>0</v>
      </c>
      <c r="J71" s="82">
        <f>+G71-I71</f>
        <v>12241121.361139726</v>
      </c>
    </row>
    <row r="72" spans="1:10" ht="24" customHeight="1" thickBot="1" x14ac:dyDescent="0.45">
      <c r="A72" s="530">
        <v>2</v>
      </c>
      <c r="B72" s="86">
        <f>+B71-H72</f>
        <v>477027920.60000002</v>
      </c>
      <c r="C72" s="78">
        <v>0.08</v>
      </c>
      <c r="D72" s="79">
        <v>45044</v>
      </c>
      <c r="E72" s="80">
        <v>45291</v>
      </c>
      <c r="F72" s="92">
        <f>+E72-D72+1</f>
        <v>248</v>
      </c>
      <c r="G72" s="77">
        <f>(B72*C72*F72)/365</f>
        <v>25929408.067682192</v>
      </c>
      <c r="H72" s="81">
        <v>323500</v>
      </c>
      <c r="I72" s="81">
        <v>0</v>
      </c>
      <c r="J72" s="82">
        <f>+G72-I72</f>
        <v>25929408.067682192</v>
      </c>
    </row>
    <row r="73" spans="1:10" ht="30" customHeight="1" thickBot="1" x14ac:dyDescent="0.45">
      <c r="A73" s="1011" t="s">
        <v>97</v>
      </c>
      <c r="B73" s="1012"/>
      <c r="C73" s="1012"/>
      <c r="D73" s="1012"/>
      <c r="E73" s="1013"/>
      <c r="F73" s="106">
        <f>+SUM(F71:F72)</f>
        <v>365</v>
      </c>
      <c r="G73" s="247">
        <f>+SUM(G71:G72)</f>
        <v>38170529.428821921</v>
      </c>
      <c r="H73" s="257">
        <f>+SUM(H71:H72)</f>
        <v>323500</v>
      </c>
      <c r="I73" s="106">
        <f>+SUM(I71:I72)</f>
        <v>0</v>
      </c>
      <c r="J73" s="247">
        <f>+SUM(J71:J72)</f>
        <v>38170529.428821921</v>
      </c>
    </row>
    <row r="74" spans="1:10" ht="40.5" customHeight="1" thickBot="1" x14ac:dyDescent="0.45">
      <c r="A74" s="999" t="s">
        <v>94</v>
      </c>
      <c r="B74" s="1000"/>
      <c r="C74" s="1000"/>
      <c r="D74" s="1000"/>
      <c r="E74" s="1001"/>
      <c r="F74" s="159">
        <f>F9+F13+F19+F21+F23+F25+F27+F31+F62+F70+F64+F73</f>
        <v>4263</v>
      </c>
      <c r="G74" s="531">
        <f>G9+G13+G19+G21+G23+G25+G27+G31+G62+G70+G64+G73</f>
        <v>437798482.53575075</v>
      </c>
      <c r="H74" s="531">
        <f>H9+H13+H19+H21+H23+H25+H27+H31+H62+H70+H64+H73</f>
        <v>22972079.399999999</v>
      </c>
      <c r="I74" s="531">
        <f>I9+I13+I19+I21+I23+I25+I27+I31+I62+I70+I64+I73</f>
        <v>10893453.220000001</v>
      </c>
      <c r="J74" s="531">
        <f>J9+J13+J19+J21+J23+J25+J27+J31+J62+J70+J64+J73</f>
        <v>426905029.31575078</v>
      </c>
    </row>
    <row r="75" spans="1:10" ht="40.5" customHeight="1" thickBot="1" x14ac:dyDescent="0.45">
      <c r="A75" s="1233" t="s">
        <v>66</v>
      </c>
      <c r="B75" s="1234"/>
      <c r="C75" s="1234"/>
      <c r="D75" s="1234"/>
      <c r="E75" s="1235"/>
      <c r="F75" s="1005">
        <f>+J74+B72</f>
        <v>903932949.91575074</v>
      </c>
      <c r="G75" s="1006"/>
      <c r="H75" s="1006"/>
      <c r="I75" s="1006"/>
      <c r="J75" s="1007"/>
    </row>
    <row r="76" spans="1:10" ht="40.5" customHeight="1" thickBot="1" x14ac:dyDescent="0.45">
      <c r="A76" s="72"/>
      <c r="B76" s="73"/>
      <c r="C76" s="74"/>
      <c r="D76" s="75"/>
      <c r="E76" s="76"/>
      <c r="F76" s="1040" t="s">
        <v>148</v>
      </c>
      <c r="G76" s="1041"/>
      <c r="H76" s="1041"/>
      <c r="I76" s="1041"/>
      <c r="J76" s="1042"/>
    </row>
  </sheetData>
  <mergeCells count="35">
    <mergeCell ref="F75:J75"/>
    <mergeCell ref="F76:J76"/>
    <mergeCell ref="A64:E64"/>
    <mergeCell ref="A70:E70"/>
    <mergeCell ref="A73:E73"/>
    <mergeCell ref="A74:E74"/>
    <mergeCell ref="A75:E75"/>
    <mergeCell ref="A62:E62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31:E31"/>
    <mergeCell ref="A17:E17"/>
    <mergeCell ref="A1:J1"/>
    <mergeCell ref="A2:J2"/>
    <mergeCell ref="A4:A5"/>
    <mergeCell ref="B4:B5"/>
    <mergeCell ref="C4:C5"/>
    <mergeCell ref="D4:E5"/>
    <mergeCell ref="F4:F5"/>
    <mergeCell ref="G4:G5"/>
    <mergeCell ref="H4:I4"/>
    <mergeCell ref="J4:J5"/>
    <mergeCell ref="A9:E9"/>
    <mergeCell ref="A13:E13"/>
    <mergeCell ref="A14:E14"/>
    <mergeCell ref="A15:E15"/>
    <mergeCell ref="A16:E16"/>
  </mergeCells>
  <pageMargins left="0.19685039370078741" right="0.19685039370078741" top="0.19685039370078741" bottom="0.23622047244094491" header="0.19685039370078741" footer="0.27559055118110237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1"/>
  <dimension ref="A1:S43"/>
  <sheetViews>
    <sheetView zoomScaleNormal="100" zoomScaleSheetLayoutView="85" zoomScalePageLayoutView="60" workbookViewId="0">
      <selection activeCell="D10" sqref="D10"/>
    </sheetView>
  </sheetViews>
  <sheetFormatPr defaultRowHeight="14.25" x14ac:dyDescent="0.2"/>
  <cols>
    <col min="1" max="1" width="4" style="557" customWidth="1"/>
    <col min="2" max="2" width="43.7109375" style="3" customWidth="1"/>
    <col min="3" max="3" width="21.42578125" style="557" customWidth="1"/>
    <col min="4" max="4" width="22.42578125" style="557" customWidth="1"/>
    <col min="5" max="5" width="12.28515625" style="557" customWidth="1"/>
    <col min="6" max="6" width="11.85546875" style="557" customWidth="1"/>
    <col min="7" max="7" width="16.5703125" style="557" customWidth="1"/>
    <col min="8" max="8" width="23.28515625" style="557" customWidth="1"/>
    <col min="9" max="9" width="22.7109375" style="557" customWidth="1"/>
    <col min="10" max="10" width="20" style="557" customWidth="1"/>
    <col min="11" max="11" width="20.28515625" style="557" customWidth="1"/>
    <col min="12" max="12" width="23.85546875" style="557" customWidth="1"/>
    <col min="13" max="13" width="1.85546875" style="557" hidden="1" customWidth="1"/>
    <col min="14" max="14" width="28" style="557" hidden="1" customWidth="1"/>
    <col min="15" max="15" width="14.5703125" style="557" hidden="1" customWidth="1"/>
    <col min="16" max="16" width="0" style="557" hidden="1" customWidth="1"/>
    <col min="17" max="17" width="21.5703125" style="557" hidden="1" customWidth="1"/>
    <col min="18" max="18" width="21.7109375" style="557" hidden="1" customWidth="1"/>
    <col min="19" max="19" width="0" style="557" hidden="1" customWidth="1"/>
    <col min="20" max="16384" width="9.140625" style="557"/>
  </cols>
  <sheetData>
    <row r="1" spans="1:19" s="122" customFormat="1" ht="42" customHeight="1" x14ac:dyDescent="0.25">
      <c r="A1" s="1143" t="s">
        <v>248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</row>
    <row r="2" spans="1:19" ht="21.75" customHeight="1" thickBot="1" x14ac:dyDescent="0.25">
      <c r="A2" s="1144" t="s">
        <v>91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  <c r="M2" s="1144"/>
    </row>
    <row r="3" spans="1:19" s="409" customFormat="1" ht="51" customHeight="1" thickBot="1" x14ac:dyDescent="0.3">
      <c r="A3" s="635" t="s">
        <v>15</v>
      </c>
      <c r="B3" s="580" t="s">
        <v>0</v>
      </c>
      <c r="C3" s="581" t="s">
        <v>1</v>
      </c>
      <c r="D3" s="716" t="s">
        <v>2</v>
      </c>
      <c r="E3" s="581" t="s">
        <v>3</v>
      </c>
      <c r="F3" s="581" t="s">
        <v>4</v>
      </c>
      <c r="G3" s="728" t="s">
        <v>18</v>
      </c>
      <c r="H3" s="581" t="s">
        <v>199</v>
      </c>
      <c r="I3" s="581" t="s">
        <v>203</v>
      </c>
      <c r="J3" s="581" t="s">
        <v>99</v>
      </c>
      <c r="K3" s="581" t="s">
        <v>147</v>
      </c>
      <c r="L3" s="636" t="s">
        <v>228</v>
      </c>
      <c r="M3" s="579" t="s">
        <v>208</v>
      </c>
      <c r="O3" s="1261" t="s">
        <v>116</v>
      </c>
      <c r="P3" s="1262"/>
      <c r="Q3" s="1263"/>
      <c r="R3" s="720"/>
    </row>
    <row r="4" spans="1:19" ht="51.75" customHeight="1" thickBot="1" x14ac:dyDescent="0.3">
      <c r="A4" s="534">
        <v>1</v>
      </c>
      <c r="B4" s="535" t="s">
        <v>5</v>
      </c>
      <c r="C4" s="536" t="s">
        <v>127</v>
      </c>
      <c r="D4" s="537">
        <f>500000000/1000</f>
        <v>500000</v>
      </c>
      <c r="E4" s="536">
        <v>2012</v>
      </c>
      <c r="F4" s="536" t="s">
        <v>129</v>
      </c>
      <c r="G4" s="724" t="s">
        <v>7</v>
      </c>
      <c r="H4" s="538">
        <v>477027.92060000001</v>
      </c>
      <c r="I4" s="538">
        <v>426905.02931575099</v>
      </c>
      <c r="J4" s="538">
        <f>1000+1000+10000</f>
        <v>12000</v>
      </c>
      <c r="K4" s="539">
        <v>0</v>
      </c>
      <c r="L4" s="642">
        <f t="shared" ref="L4:L8" si="0">+H4-J4</f>
        <v>465027.92060000001</v>
      </c>
      <c r="M4" s="656">
        <v>445877.72473634098</v>
      </c>
      <c r="O4" s="1264"/>
      <c r="P4" s="1265"/>
      <c r="Q4" s="1266"/>
      <c r="R4" s="720"/>
    </row>
    <row r="5" spans="1:19" ht="47.25" customHeight="1" thickBot="1" x14ac:dyDescent="0.25">
      <c r="A5" s="235">
        <v>2</v>
      </c>
      <c r="B5" s="236" t="s">
        <v>125</v>
      </c>
      <c r="C5" s="237" t="s">
        <v>137</v>
      </c>
      <c r="D5" s="129">
        <v>2250000</v>
      </c>
      <c r="E5" s="237">
        <v>2016</v>
      </c>
      <c r="F5" s="237" t="s">
        <v>130</v>
      </c>
      <c r="G5" s="722">
        <v>0.02</v>
      </c>
      <c r="H5" s="413">
        <v>2012961.9251400002</v>
      </c>
      <c r="I5" s="574">
        <v>148255.9123541</v>
      </c>
      <c r="J5" s="415">
        <v>161051.3296</v>
      </c>
      <c r="K5" s="416">
        <f>20190.25652+7981.13505</f>
        <v>28171.39157</v>
      </c>
      <c r="L5" s="643">
        <f t="shared" si="0"/>
        <v>1851910.5955400001</v>
      </c>
      <c r="M5" s="657">
        <v>147859.23176954401</v>
      </c>
      <c r="N5" s="153"/>
      <c r="O5" s="1179">
        <v>501220</v>
      </c>
      <c r="P5" s="1180"/>
      <c r="Q5" s="727">
        <v>180820</v>
      </c>
      <c r="R5" s="576"/>
    </row>
    <row r="6" spans="1:19" ht="38.25" customHeight="1" thickBot="1" x14ac:dyDescent="0.25">
      <c r="A6" s="235">
        <v>3</v>
      </c>
      <c r="B6" s="236" t="s">
        <v>126</v>
      </c>
      <c r="C6" s="237" t="s">
        <v>137</v>
      </c>
      <c r="D6" s="129">
        <v>1070000</v>
      </c>
      <c r="E6" s="237">
        <v>2016</v>
      </c>
      <c r="F6" s="237" t="s">
        <v>130</v>
      </c>
      <c r="G6" s="722">
        <v>0.02</v>
      </c>
      <c r="H6" s="413">
        <v>822540.31874999998</v>
      </c>
      <c r="I6" s="574">
        <v>115775.78858875899</v>
      </c>
      <c r="J6" s="415">
        <f>79290.86059</f>
        <v>79290.860589999997</v>
      </c>
      <c r="K6" s="416">
        <f>7663.69352+7981.13505</f>
        <v>15644.82857</v>
      </c>
      <c r="L6" s="357">
        <f t="shared" si="0"/>
        <v>743249.45815999992</v>
      </c>
      <c r="M6" s="657">
        <v>116209.70660603201</v>
      </c>
      <c r="N6" s="153"/>
      <c r="O6" s="1152">
        <v>426400</v>
      </c>
      <c r="P6" s="1153"/>
      <c r="Q6" s="721">
        <v>106000</v>
      </c>
      <c r="R6" s="577"/>
    </row>
    <row r="7" spans="1:19" ht="36" customHeight="1" thickBot="1" x14ac:dyDescent="0.25">
      <c r="A7" s="235">
        <v>4</v>
      </c>
      <c r="B7" s="236" t="s">
        <v>19</v>
      </c>
      <c r="C7" s="237" t="s">
        <v>138</v>
      </c>
      <c r="D7" s="129">
        <f>200000000/1000</f>
        <v>200000</v>
      </c>
      <c r="E7" s="237">
        <v>2012</v>
      </c>
      <c r="F7" s="237" t="s">
        <v>131</v>
      </c>
      <c r="G7" s="725" t="s">
        <v>12</v>
      </c>
      <c r="H7" s="355">
        <v>200000</v>
      </c>
      <c r="I7" s="323">
        <v>0</v>
      </c>
      <c r="J7" s="323">
        <v>0</v>
      </c>
      <c r="K7" s="323">
        <v>0</v>
      </c>
      <c r="L7" s="644">
        <f t="shared" si="0"/>
        <v>200000</v>
      </c>
      <c r="M7" s="640">
        <f>+I7-K7</f>
        <v>0</v>
      </c>
      <c r="N7" s="718">
        <f>+J4+J5+J6+J8+K8+K6+K5</f>
        <v>367326.84005</v>
      </c>
      <c r="O7" s="1152">
        <v>74820</v>
      </c>
      <c r="P7" s="1153"/>
      <c r="Q7" s="721">
        <v>74820</v>
      </c>
      <c r="R7" s="577"/>
    </row>
    <row r="8" spans="1:19" ht="51.75" customHeight="1" thickBot="1" x14ac:dyDescent="0.25">
      <c r="A8" s="235">
        <v>5</v>
      </c>
      <c r="B8" s="239" t="s">
        <v>170</v>
      </c>
      <c r="C8" s="240" t="s">
        <v>14</v>
      </c>
      <c r="D8" s="130">
        <v>1165000</v>
      </c>
      <c r="E8" s="131">
        <v>2019</v>
      </c>
      <c r="F8" s="131" t="s">
        <v>96</v>
      </c>
      <c r="G8" s="722">
        <v>0.02</v>
      </c>
      <c r="H8" s="414">
        <v>741000</v>
      </c>
      <c r="I8" s="413">
        <v>168.42972</v>
      </c>
      <c r="J8" s="358">
        <f>35000+36000</f>
        <v>71000</v>
      </c>
      <c r="K8" s="413">
        <v>168.42972</v>
      </c>
      <c r="L8" s="644">
        <f t="shared" si="0"/>
        <v>670000</v>
      </c>
      <c r="M8" s="655">
        <v>14820</v>
      </c>
      <c r="N8" s="717" t="s">
        <v>231</v>
      </c>
      <c r="O8" s="1154">
        <f>+O6+O7</f>
        <v>501220</v>
      </c>
      <c r="P8" s="1155"/>
      <c r="Q8" s="552" t="e">
        <f>+Q5-#REF!</f>
        <v>#REF!</v>
      </c>
      <c r="R8" s="577"/>
    </row>
    <row r="9" spans="1:19" s="409" customFormat="1" ht="30" customHeight="1" thickBot="1" x14ac:dyDescent="0.4">
      <c r="A9" s="1257" t="s">
        <v>246</v>
      </c>
      <c r="B9" s="1258"/>
      <c r="C9" s="1258"/>
      <c r="D9" s="742">
        <f>+SUM(D4:D8)</f>
        <v>5185000</v>
      </c>
      <c r="E9" s="743"/>
      <c r="F9" s="744"/>
      <c r="G9" s="744"/>
      <c r="H9" s="742">
        <f>+SUM(H4:H8)</f>
        <v>4253530.1644900003</v>
      </c>
      <c r="I9" s="742">
        <f t="shared" ref="I9:K9" si="1">+SUM(I4:I8)</f>
        <v>691105.15997861</v>
      </c>
      <c r="J9" s="742">
        <f t="shared" si="1"/>
        <v>323342.19018999999</v>
      </c>
      <c r="K9" s="742">
        <f t="shared" si="1"/>
        <v>43984.649859999998</v>
      </c>
      <c r="L9" s="745">
        <f>+SUM(L4:L8)</f>
        <v>3930187.9742999999</v>
      </c>
      <c r="M9" s="641" t="e">
        <f>+SUM(#REF!)</f>
        <v>#REF!</v>
      </c>
      <c r="N9" s="711">
        <v>4.0040898263000004</v>
      </c>
      <c r="O9" s="731" t="s">
        <v>116</v>
      </c>
      <c r="P9" s="732"/>
      <c r="Q9" s="733"/>
    </row>
    <row r="10" spans="1:19" ht="34.5" customHeight="1" thickBot="1" x14ac:dyDescent="0.3">
      <c r="A10" s="235">
        <v>6</v>
      </c>
      <c r="B10" s="239" t="s">
        <v>9</v>
      </c>
      <c r="C10" s="240" t="s">
        <v>140</v>
      </c>
      <c r="D10" s="130">
        <v>50000</v>
      </c>
      <c r="E10" s="131">
        <v>2009</v>
      </c>
      <c r="F10" s="131" t="s">
        <v>11</v>
      </c>
      <c r="G10" s="737" t="s">
        <v>87</v>
      </c>
      <c r="H10" s="414">
        <v>49873.93</v>
      </c>
      <c r="I10" s="414">
        <v>126.07</v>
      </c>
      <c r="J10" s="413">
        <v>49873.93</v>
      </c>
      <c r="K10" s="354">
        <v>126.07</v>
      </c>
      <c r="L10" s="751">
        <v>0</v>
      </c>
      <c r="M10" s="640">
        <f>+I10-K10</f>
        <v>0</v>
      </c>
      <c r="O10" s="734"/>
      <c r="P10" s="735"/>
      <c r="Q10" s="736"/>
      <c r="R10" s="409"/>
      <c r="S10" s="409"/>
    </row>
    <row r="11" spans="1:19" ht="34.5" customHeight="1" thickBot="1" x14ac:dyDescent="0.4">
      <c r="A11" s="559">
        <v>7</v>
      </c>
      <c r="B11" s="582" t="s">
        <v>234</v>
      </c>
      <c r="C11" s="729" t="s">
        <v>157</v>
      </c>
      <c r="D11" s="681">
        <v>50000</v>
      </c>
      <c r="E11" s="730">
        <v>45308</v>
      </c>
      <c r="F11" s="131" t="s">
        <v>158</v>
      </c>
      <c r="G11" s="722">
        <v>0.08</v>
      </c>
      <c r="H11" s="323">
        <v>0</v>
      </c>
      <c r="I11" s="684">
        <v>0</v>
      </c>
      <c r="J11" s="714">
        <v>50000</v>
      </c>
      <c r="K11" s="684">
        <v>2000</v>
      </c>
      <c r="L11" s="741">
        <v>0</v>
      </c>
      <c r="M11" s="715"/>
      <c r="N11" s="710"/>
      <c r="O11" s="1179">
        <v>501220</v>
      </c>
      <c r="P11" s="1180"/>
      <c r="Q11" s="710"/>
      <c r="R11" s="409"/>
      <c r="S11" s="409"/>
    </row>
    <row r="12" spans="1:19" ht="36.75" customHeight="1" thickBot="1" x14ac:dyDescent="0.4">
      <c r="A12" s="559">
        <v>8</v>
      </c>
      <c r="B12" s="582" t="s">
        <v>233</v>
      </c>
      <c r="C12" s="712" t="s">
        <v>157</v>
      </c>
      <c r="D12" s="681">
        <v>30000</v>
      </c>
      <c r="E12" s="730">
        <v>45308</v>
      </c>
      <c r="F12" s="131" t="s">
        <v>160</v>
      </c>
      <c r="G12" s="722">
        <v>0.1</v>
      </c>
      <c r="H12" s="323" t="s">
        <v>258</v>
      </c>
      <c r="I12" s="684">
        <v>0</v>
      </c>
      <c r="J12" s="714">
        <v>0</v>
      </c>
      <c r="K12" s="684">
        <v>1500</v>
      </c>
      <c r="L12" s="687">
        <v>30000</v>
      </c>
      <c r="M12" s="715"/>
      <c r="N12" s="710"/>
      <c r="O12" s="1152">
        <v>426400</v>
      </c>
      <c r="P12" s="1153"/>
      <c r="Q12" s="710"/>
      <c r="R12" s="409"/>
      <c r="S12" s="409"/>
    </row>
    <row r="13" spans="1:19" ht="32.25" thickBot="1" x14ac:dyDescent="0.4">
      <c r="A13" s="559">
        <v>9</v>
      </c>
      <c r="B13" s="582" t="s">
        <v>235</v>
      </c>
      <c r="C13" s="729" t="s">
        <v>157</v>
      </c>
      <c r="D13" s="681">
        <v>20000</v>
      </c>
      <c r="E13" s="730">
        <v>45308</v>
      </c>
      <c r="F13" s="131" t="s">
        <v>162</v>
      </c>
      <c r="G13" s="722">
        <v>0.12</v>
      </c>
      <c r="H13" s="323">
        <v>0</v>
      </c>
      <c r="I13" s="684"/>
      <c r="J13" s="714">
        <v>0</v>
      </c>
      <c r="K13" s="684">
        <f>600+600</f>
        <v>1200</v>
      </c>
      <c r="L13" s="687">
        <v>20000</v>
      </c>
      <c r="M13" s="715"/>
      <c r="N13" s="710"/>
      <c r="O13" s="1152">
        <v>74820</v>
      </c>
      <c r="P13" s="1153"/>
      <c r="Q13" s="710"/>
      <c r="R13" s="409"/>
      <c r="S13" s="409"/>
    </row>
    <row r="14" spans="1:19" ht="32.25" thickBot="1" x14ac:dyDescent="0.4">
      <c r="A14" s="559">
        <v>10</v>
      </c>
      <c r="B14" s="582" t="s">
        <v>236</v>
      </c>
      <c r="C14" s="729" t="s">
        <v>157</v>
      </c>
      <c r="D14" s="681">
        <v>30000</v>
      </c>
      <c r="E14" s="532">
        <v>45379</v>
      </c>
      <c r="F14" s="237" t="s">
        <v>158</v>
      </c>
      <c r="G14" s="722" t="s">
        <v>249</v>
      </c>
      <c r="H14" s="323">
        <v>0</v>
      </c>
      <c r="I14" s="684"/>
      <c r="J14" s="714">
        <v>29150.436089999999</v>
      </c>
      <c r="K14" s="684">
        <v>849.56390999999996</v>
      </c>
      <c r="L14" s="741">
        <v>0</v>
      </c>
      <c r="M14" s="715"/>
      <c r="N14" s="710"/>
      <c r="O14" s="1154">
        <f>+O12+O13</f>
        <v>501220</v>
      </c>
      <c r="P14" s="1155"/>
      <c r="Q14" s="710"/>
      <c r="R14" s="409"/>
      <c r="S14" s="409"/>
    </row>
    <row r="15" spans="1:19" ht="31.5" x14ac:dyDescent="0.35">
      <c r="A15" s="559">
        <v>11</v>
      </c>
      <c r="B15" s="582" t="s">
        <v>237</v>
      </c>
      <c r="C15" s="729" t="s">
        <v>157</v>
      </c>
      <c r="D15" s="681">
        <v>50000</v>
      </c>
      <c r="E15" s="730">
        <v>45401</v>
      </c>
      <c r="F15" s="237" t="s">
        <v>158</v>
      </c>
      <c r="G15" s="749" t="s">
        <v>249</v>
      </c>
      <c r="H15" s="323">
        <v>0</v>
      </c>
      <c r="I15" s="684"/>
      <c r="J15" s="714">
        <v>0</v>
      </c>
      <c r="K15" s="684">
        <v>0</v>
      </c>
      <c r="L15" s="687">
        <v>48631.515379999997</v>
      </c>
      <c r="M15" s="715"/>
      <c r="N15" s="710"/>
      <c r="O15" s="710"/>
      <c r="P15" s="710"/>
      <c r="Q15" s="710"/>
      <c r="R15" s="409"/>
      <c r="S15" s="409"/>
    </row>
    <row r="16" spans="1:19" ht="31.5" x14ac:dyDescent="0.35">
      <c r="A16" s="559">
        <v>12</v>
      </c>
      <c r="B16" s="582" t="s">
        <v>238</v>
      </c>
      <c r="C16" s="729" t="s">
        <v>157</v>
      </c>
      <c r="D16" s="681">
        <v>50000</v>
      </c>
      <c r="E16" s="532">
        <v>45436</v>
      </c>
      <c r="F16" s="237" t="s">
        <v>158</v>
      </c>
      <c r="G16" s="722" t="s">
        <v>250</v>
      </c>
      <c r="H16" s="323">
        <v>0</v>
      </c>
      <c r="I16" s="684"/>
      <c r="J16" s="714">
        <v>0</v>
      </c>
      <c r="K16" s="684">
        <v>0</v>
      </c>
      <c r="L16" s="687">
        <v>48370.777249999999</v>
      </c>
      <c r="M16" s="715"/>
      <c r="N16" s="710">
        <v>5000</v>
      </c>
      <c r="O16" s="753">
        <v>0.05</v>
      </c>
      <c r="P16" s="710"/>
      <c r="Q16" s="710"/>
      <c r="R16" s="710"/>
      <c r="S16" s="710"/>
    </row>
    <row r="17" spans="1:19" ht="17.25" customHeight="1" x14ac:dyDescent="0.35">
      <c r="A17" s="1237">
        <v>13</v>
      </c>
      <c r="B17" s="1239" t="s">
        <v>239</v>
      </c>
      <c r="C17" s="1241" t="s">
        <v>157</v>
      </c>
      <c r="D17" s="1243">
        <v>50000</v>
      </c>
      <c r="E17" s="532">
        <v>45464</v>
      </c>
      <c r="F17" s="237" t="s">
        <v>158</v>
      </c>
      <c r="G17" s="805" t="s">
        <v>257</v>
      </c>
      <c r="H17" s="1245">
        <v>0</v>
      </c>
      <c r="I17" s="806"/>
      <c r="J17" s="1247">
        <v>0</v>
      </c>
      <c r="K17" s="1249">
        <v>0</v>
      </c>
      <c r="L17" s="687">
        <f>26312.13123</f>
        <v>26312.131229999999</v>
      </c>
      <c r="M17" s="715"/>
      <c r="N17" s="710">
        <f>N16/O16/100%</f>
        <v>100000</v>
      </c>
      <c r="O17" s="710"/>
      <c r="P17" s="710"/>
      <c r="Q17" s="710"/>
      <c r="R17" s="710"/>
      <c r="S17" s="710"/>
    </row>
    <row r="18" spans="1:19" ht="18" customHeight="1" x14ac:dyDescent="0.35">
      <c r="A18" s="1238"/>
      <c r="B18" s="1240"/>
      <c r="C18" s="1242"/>
      <c r="D18" s="1244"/>
      <c r="E18" s="532">
        <v>45561</v>
      </c>
      <c r="F18" s="237" t="s">
        <v>254</v>
      </c>
      <c r="G18" s="805" t="s">
        <v>255</v>
      </c>
      <c r="H18" s="1246"/>
      <c r="I18" s="806"/>
      <c r="J18" s="1248"/>
      <c r="K18" s="1250"/>
      <c r="L18" s="687">
        <v>22427.377970000001</v>
      </c>
      <c r="M18" s="715"/>
      <c r="N18" s="710">
        <f>+O16/N16/100</f>
        <v>1.0000000000000001E-7</v>
      </c>
      <c r="O18" s="710"/>
      <c r="P18" s="710"/>
      <c r="Q18" s="710"/>
      <c r="R18" s="710"/>
      <c r="S18" s="710"/>
    </row>
    <row r="19" spans="1:19" ht="16.5" customHeight="1" x14ac:dyDescent="0.35">
      <c r="A19" s="1237">
        <v>14</v>
      </c>
      <c r="B19" s="1239" t="s">
        <v>240</v>
      </c>
      <c r="C19" s="1241" t="s">
        <v>157</v>
      </c>
      <c r="D19" s="1243">
        <v>50000</v>
      </c>
      <c r="E19" s="730">
        <v>45489</v>
      </c>
      <c r="F19" s="237" t="s">
        <v>158</v>
      </c>
      <c r="G19" s="805" t="s">
        <v>249</v>
      </c>
      <c r="H19" s="1245">
        <v>0</v>
      </c>
      <c r="I19" s="806"/>
      <c r="J19" s="1247">
        <v>0</v>
      </c>
      <c r="K19" s="1249">
        <v>0</v>
      </c>
      <c r="L19" s="687">
        <f>33904.36565</f>
        <v>33904.36565</v>
      </c>
      <c r="M19" s="715"/>
      <c r="N19" s="710"/>
      <c r="O19" s="710"/>
      <c r="P19" s="710"/>
      <c r="Q19" s="710"/>
      <c r="R19" s="710"/>
      <c r="S19" s="710"/>
    </row>
    <row r="20" spans="1:19" ht="18" customHeight="1" x14ac:dyDescent="0.35">
      <c r="A20" s="1238"/>
      <c r="B20" s="1240"/>
      <c r="C20" s="1242"/>
      <c r="D20" s="1244"/>
      <c r="E20" s="532">
        <v>45561</v>
      </c>
      <c r="F20" s="237" t="s">
        <v>253</v>
      </c>
      <c r="G20" s="805" t="s">
        <v>256</v>
      </c>
      <c r="H20" s="1246"/>
      <c r="I20" s="806"/>
      <c r="J20" s="1248"/>
      <c r="K20" s="1250"/>
      <c r="L20" s="687">
        <v>14665.523010000001</v>
      </c>
      <c r="M20" s="715"/>
      <c r="N20" s="710"/>
      <c r="O20" s="710"/>
      <c r="P20" s="710"/>
      <c r="Q20" s="710"/>
      <c r="R20" s="710"/>
      <c r="S20" s="710"/>
    </row>
    <row r="21" spans="1:19" ht="31.5" x14ac:dyDescent="0.35">
      <c r="A21" s="559">
        <v>15</v>
      </c>
      <c r="B21" s="582" t="s">
        <v>241</v>
      </c>
      <c r="C21" s="729" t="s">
        <v>157</v>
      </c>
      <c r="D21" s="681">
        <v>50000</v>
      </c>
      <c r="E21" s="730">
        <v>45527</v>
      </c>
      <c r="F21" s="237" t="s">
        <v>242</v>
      </c>
      <c r="G21" s="749" t="s">
        <v>259</v>
      </c>
      <c r="H21" s="323">
        <v>0</v>
      </c>
      <c r="I21" s="684"/>
      <c r="J21" s="714">
        <v>0</v>
      </c>
      <c r="K21" s="684">
        <v>0</v>
      </c>
      <c r="L21" s="687">
        <v>50000</v>
      </c>
      <c r="M21" s="715"/>
      <c r="N21" s="710"/>
      <c r="O21" s="710"/>
      <c r="P21" s="710"/>
      <c r="Q21" s="710"/>
      <c r="R21" s="710"/>
      <c r="S21" s="710"/>
    </row>
    <row r="22" spans="1:19" ht="32.25" thickBot="1" x14ac:dyDescent="0.4">
      <c r="A22" s="559">
        <v>16</v>
      </c>
      <c r="B22" s="582" t="s">
        <v>243</v>
      </c>
      <c r="C22" s="729" t="s">
        <v>157</v>
      </c>
      <c r="D22" s="681">
        <v>50000</v>
      </c>
      <c r="E22" s="730">
        <v>45561</v>
      </c>
      <c r="F22" s="237" t="s">
        <v>158</v>
      </c>
      <c r="G22" s="748" t="s">
        <v>251</v>
      </c>
      <c r="H22" s="323">
        <v>0</v>
      </c>
      <c r="I22" s="684"/>
      <c r="J22" s="714">
        <v>0</v>
      </c>
      <c r="K22" s="684">
        <v>0</v>
      </c>
      <c r="L22" s="687">
        <v>14744.23819</v>
      </c>
      <c r="M22" s="715"/>
      <c r="N22" s="710"/>
      <c r="O22" s="710"/>
      <c r="P22" s="710"/>
      <c r="Q22" s="710"/>
      <c r="R22" s="710"/>
      <c r="S22" s="710"/>
    </row>
    <row r="23" spans="1:19" ht="31.5" hidden="1" x14ac:dyDescent="0.35">
      <c r="A23" s="559">
        <v>14</v>
      </c>
      <c r="B23" s="582" t="s">
        <v>234</v>
      </c>
      <c r="C23" s="729" t="s">
        <v>157</v>
      </c>
      <c r="D23" s="681"/>
      <c r="E23" s="131"/>
      <c r="F23" s="131"/>
      <c r="G23" s="722"/>
      <c r="H23" s="683">
        <v>0</v>
      </c>
      <c r="I23" s="684"/>
      <c r="J23" s="714"/>
      <c r="K23" s="684"/>
      <c r="L23" s="687"/>
      <c r="M23" s="715"/>
      <c r="N23" s="710"/>
      <c r="O23" s="710"/>
      <c r="P23" s="710"/>
      <c r="Q23" s="710"/>
      <c r="R23" s="710"/>
      <c r="S23" s="710"/>
    </row>
    <row r="24" spans="1:19" s="409" customFormat="1" ht="33" customHeight="1" thickBot="1" x14ac:dyDescent="0.4">
      <c r="A24" s="1257" t="s">
        <v>23</v>
      </c>
      <c r="B24" s="1258"/>
      <c r="C24" s="1258"/>
      <c r="D24" s="742">
        <f>+SUM(D10:D23)</f>
        <v>480000</v>
      </c>
      <c r="E24" s="743"/>
      <c r="F24" s="744"/>
      <c r="G24" s="744"/>
      <c r="H24" s="742">
        <f>+SUM(H10:H22)</f>
        <v>49873.93</v>
      </c>
      <c r="I24" s="742">
        <f t="shared" ref="I24" si="2">+SUM(I17:I23)</f>
        <v>0</v>
      </c>
      <c r="J24" s="742">
        <f>+SUM(J10:J23)</f>
        <v>129024.36609</v>
      </c>
      <c r="K24" s="742">
        <f>+SUM(K10:K23)</f>
        <v>5675.6339099999996</v>
      </c>
      <c r="L24" s="752">
        <f>+SUM(L10:M23)</f>
        <v>309055.92867999995</v>
      </c>
      <c r="M24" s="641" t="e">
        <f>+SUM(#REF!)</f>
        <v>#REF!</v>
      </c>
      <c r="N24" s="711">
        <v>4.0040898263000004</v>
      </c>
      <c r="O24" s="731" t="s">
        <v>116</v>
      </c>
      <c r="P24" s="732"/>
      <c r="Q24" s="733"/>
    </row>
    <row r="25" spans="1:19" s="409" customFormat="1" ht="30" customHeight="1" thickBot="1" x14ac:dyDescent="0.4">
      <c r="A25" s="1190" t="s">
        <v>23</v>
      </c>
      <c r="B25" s="1191"/>
      <c r="C25" s="1191"/>
      <c r="D25" s="541">
        <f>+SUM(D9:D23)</f>
        <v>5665000</v>
      </c>
      <c r="E25" s="545"/>
      <c r="F25" s="546"/>
      <c r="G25" s="546"/>
      <c r="H25" s="541">
        <f>+H9+H24</f>
        <v>4303404.09449</v>
      </c>
      <c r="I25" s="541">
        <f>+SUM(I9:I23)</f>
        <v>691231.22997860995</v>
      </c>
      <c r="J25" s="541">
        <f>+J9+J24</f>
        <v>452366.55628000002</v>
      </c>
      <c r="K25" s="541">
        <f>+K9+K24</f>
        <v>49660.283769999995</v>
      </c>
      <c r="L25" s="590">
        <f>+L9+L24</f>
        <v>4239243.9029799998</v>
      </c>
      <c r="M25" s="641">
        <f>+SUM(M4:M8)</f>
        <v>724766.66311191698</v>
      </c>
      <c r="N25" s="710"/>
      <c r="O25" s="710"/>
      <c r="P25" s="710"/>
      <c r="Q25" s="710"/>
      <c r="R25" s="710"/>
      <c r="S25" s="710"/>
    </row>
    <row r="26" spans="1:19" ht="24" customHeight="1" thickBot="1" x14ac:dyDescent="0.25">
      <c r="A26" s="360"/>
      <c r="B26" s="360"/>
      <c r="C26" s="361"/>
      <c r="D26" s="362"/>
      <c r="E26" s="363"/>
      <c r="F26" s="363"/>
      <c r="G26" s="364"/>
      <c r="H26" s="575"/>
      <c r="I26" s="575"/>
      <c r="J26" s="370"/>
      <c r="K26" s="370"/>
      <c r="L26" s="370"/>
      <c r="M26" s="370"/>
    </row>
    <row r="27" spans="1:19" ht="36.75" customHeight="1" thickBot="1" x14ac:dyDescent="0.25">
      <c r="A27" s="366"/>
      <c r="B27" s="1128" t="s">
        <v>88</v>
      </c>
      <c r="C27" s="1129"/>
      <c r="D27" s="1130"/>
      <c r="E27" s="1259">
        <v>143945</v>
      </c>
      <c r="F27" s="1260"/>
      <c r="G27" s="366"/>
      <c r="H27" s="1150" t="s">
        <v>229</v>
      </c>
      <c r="I27" s="1197"/>
      <c r="J27" s="1151"/>
      <c r="K27" s="417">
        <f>+H25-L25</f>
        <v>64160.191510000266</v>
      </c>
      <c r="L27" s="368">
        <f>+(K27/H25)*100%</f>
        <v>1.4909171925580915E-2</v>
      </c>
    </row>
    <row r="28" spans="1:19" ht="21" thickBot="1" x14ac:dyDescent="0.25">
      <c r="A28" s="366"/>
      <c r="B28" s="1128" t="s">
        <v>89</v>
      </c>
      <c r="C28" s="1129"/>
      <c r="D28" s="1130"/>
      <c r="E28" s="1131">
        <f>L25/E27/1000</f>
        <v>2.9450442203480497E-2</v>
      </c>
      <c r="F28" s="1132"/>
      <c r="G28" s="750" t="s">
        <v>252</v>
      </c>
      <c r="H28" s="1251" t="s">
        <v>90</v>
      </c>
      <c r="I28" s="1252"/>
      <c r="J28" s="1253"/>
      <c r="K28" s="1181">
        <f>+J25+K25</f>
        <v>502026.84005</v>
      </c>
      <c r="L28" s="1182"/>
    </row>
    <row r="29" spans="1:19" s="19" customFormat="1" ht="18.75" thickBot="1" x14ac:dyDescent="0.3">
      <c r="A29" s="366"/>
      <c r="B29" s="1137" t="s">
        <v>247</v>
      </c>
      <c r="C29" s="1138"/>
      <c r="D29" s="1139"/>
      <c r="E29" s="1185">
        <f>+L25/G29</f>
        <v>398028.64655324578</v>
      </c>
      <c r="F29" s="1186"/>
      <c r="G29" s="723">
        <v>10.650600000000001</v>
      </c>
      <c r="H29" s="1254"/>
      <c r="I29" s="1255"/>
      <c r="J29" s="1256"/>
      <c r="K29" s="1183"/>
      <c r="L29" s="1184"/>
      <c r="M29" s="557"/>
    </row>
    <row r="30" spans="1:19" s="19" customFormat="1" ht="24.75" customHeight="1" thickBot="1" x14ac:dyDescent="0.3">
      <c r="A30" s="365"/>
      <c r="B30" s="3"/>
      <c r="C30" s="557"/>
      <c r="D30" s="123"/>
      <c r="E30" s="557"/>
      <c r="F30" s="557"/>
      <c r="G30" s="738" t="s">
        <v>165</v>
      </c>
      <c r="H30" s="157"/>
      <c r="I30" s="157"/>
      <c r="J30" s="157"/>
      <c r="K30" s="157"/>
      <c r="L30" s="157"/>
      <c r="M30" s="557"/>
    </row>
    <row r="31" spans="1:19" x14ac:dyDescent="0.2">
      <c r="C31" s="739"/>
      <c r="D31" s="739"/>
      <c r="E31" s="740"/>
    </row>
    <row r="34" spans="1:13" ht="34.5" x14ac:dyDescent="0.2">
      <c r="A34" s="1236" t="s">
        <v>217</v>
      </c>
      <c r="B34" s="1236"/>
      <c r="C34" s="1236"/>
      <c r="D34" s="1236"/>
      <c r="E34" s="1236"/>
      <c r="F34" s="1236"/>
      <c r="G34" s="1236"/>
      <c r="H34" s="1236"/>
      <c r="I34" s="1236"/>
      <c r="J34" s="1236"/>
      <c r="K34" s="1236"/>
      <c r="L34" s="1236"/>
      <c r="M34" s="1236"/>
    </row>
    <row r="35" spans="1:13" ht="16.5" thickBot="1" x14ac:dyDescent="0.25">
      <c r="A35" s="1144" t="s">
        <v>91</v>
      </c>
      <c r="B35" s="1144"/>
      <c r="C35" s="1144"/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</row>
    <row r="36" spans="1:13" ht="55.5" customHeight="1" thickBot="1" x14ac:dyDescent="0.25">
      <c r="A36" s="588" t="s">
        <v>15</v>
      </c>
      <c r="B36" s="580" t="s">
        <v>0</v>
      </c>
      <c r="C36" s="581" t="s">
        <v>1</v>
      </c>
      <c r="D36" s="581" t="s">
        <v>2</v>
      </c>
      <c r="E36" s="581" t="s">
        <v>3</v>
      </c>
      <c r="F36" s="581" t="s">
        <v>4</v>
      </c>
      <c r="G36" s="728" t="s">
        <v>18</v>
      </c>
      <c r="H36" s="581" t="s">
        <v>199</v>
      </c>
      <c r="I36" s="581" t="s">
        <v>198</v>
      </c>
      <c r="J36" s="581" t="s">
        <v>99</v>
      </c>
      <c r="K36" s="581" t="s">
        <v>147</v>
      </c>
      <c r="L36" s="673" t="s">
        <v>219</v>
      </c>
      <c r="M36" s="579" t="s">
        <v>201</v>
      </c>
    </row>
    <row r="37" spans="1:13" ht="47.25" customHeight="1" x14ac:dyDescent="0.2">
      <c r="A37" s="534">
        <v>1</v>
      </c>
      <c r="B37" s="535" t="s">
        <v>5</v>
      </c>
      <c r="C37" s="536" t="s">
        <v>127</v>
      </c>
      <c r="D37" s="537">
        <f>500000000/1000</f>
        <v>500000</v>
      </c>
      <c r="E37" s="536">
        <v>2012</v>
      </c>
      <c r="F37" s="536" t="s">
        <v>129</v>
      </c>
      <c r="G37" s="724" t="s">
        <v>7</v>
      </c>
      <c r="H37" s="538">
        <v>477027.92060000001</v>
      </c>
      <c r="I37" s="538">
        <v>426905.02931575099</v>
      </c>
      <c r="J37" s="594">
        <f>+J4</f>
        <v>12000</v>
      </c>
      <c r="K37" s="539" t="s">
        <v>218</v>
      </c>
      <c r="L37" s="538">
        <f t="shared" ref="L37:L42" si="3">+H37-J37</f>
        <v>465027.92060000001</v>
      </c>
      <c r="M37" s="593">
        <v>444629.12691181601</v>
      </c>
    </row>
    <row r="38" spans="1:13" ht="47.25" x14ac:dyDescent="0.2">
      <c r="A38" s="235">
        <v>2</v>
      </c>
      <c r="B38" s="236" t="s">
        <v>125</v>
      </c>
      <c r="C38" s="237" t="s">
        <v>137</v>
      </c>
      <c r="D38" s="129">
        <v>2250000</v>
      </c>
      <c r="E38" s="237">
        <v>2016</v>
      </c>
      <c r="F38" s="237" t="s">
        <v>130</v>
      </c>
      <c r="G38" s="722">
        <v>0.02</v>
      </c>
      <c r="H38" s="413">
        <v>2012961.9251400002</v>
      </c>
      <c r="I38" s="574">
        <v>148255.9123541</v>
      </c>
      <c r="J38" s="596">
        <f>+J5</f>
        <v>161051.3296</v>
      </c>
      <c r="K38" s="416">
        <f>+K5</f>
        <v>28171.39157</v>
      </c>
      <c r="L38" s="416">
        <f t="shared" si="3"/>
        <v>1851910.5955400001</v>
      </c>
      <c r="M38" s="592">
        <v>159192.15836225901</v>
      </c>
    </row>
    <row r="39" spans="1:13" ht="31.5" x14ac:dyDescent="0.2">
      <c r="A39" s="235">
        <v>3</v>
      </c>
      <c r="B39" s="236" t="s">
        <v>126</v>
      </c>
      <c r="C39" s="237" t="s">
        <v>137</v>
      </c>
      <c r="D39" s="129">
        <v>1070000</v>
      </c>
      <c r="E39" s="237">
        <v>2016</v>
      </c>
      <c r="F39" s="237" t="s">
        <v>130</v>
      </c>
      <c r="G39" s="722">
        <v>0.02</v>
      </c>
      <c r="H39" s="413">
        <v>822540.31874999998</v>
      </c>
      <c r="I39" s="574">
        <v>115775.78858875899</v>
      </c>
      <c r="J39" s="596">
        <f>+J6</f>
        <v>79290.860589999997</v>
      </c>
      <c r="K39" s="416">
        <f>+K6</f>
        <v>15644.82857</v>
      </c>
      <c r="L39" s="416">
        <f t="shared" si="3"/>
        <v>743249.45815999992</v>
      </c>
      <c r="M39" s="592">
        <v>115681.311171564</v>
      </c>
    </row>
    <row r="40" spans="1:13" ht="31.5" x14ac:dyDescent="0.2">
      <c r="A40" s="235">
        <v>4</v>
      </c>
      <c r="B40" s="236" t="s">
        <v>19</v>
      </c>
      <c r="C40" s="237" t="s">
        <v>138</v>
      </c>
      <c r="D40" s="129">
        <f>200000000/1000</f>
        <v>200000</v>
      </c>
      <c r="E40" s="237">
        <v>2012</v>
      </c>
      <c r="F40" s="237" t="s">
        <v>131</v>
      </c>
      <c r="G40" s="725" t="s">
        <v>12</v>
      </c>
      <c r="H40" s="355">
        <v>200000</v>
      </c>
      <c r="I40" s="323">
        <v>0</v>
      </c>
      <c r="J40" s="323">
        <v>0</v>
      </c>
      <c r="K40" s="323">
        <v>0</v>
      </c>
      <c r="L40" s="413">
        <f t="shared" si="3"/>
        <v>200000</v>
      </c>
      <c r="M40" s="357">
        <f>+I40-K40</f>
        <v>0</v>
      </c>
    </row>
    <row r="41" spans="1:13" ht="31.5" customHeight="1" x14ac:dyDescent="0.2">
      <c r="A41" s="235">
        <v>5</v>
      </c>
      <c r="B41" s="239" t="s">
        <v>9</v>
      </c>
      <c r="C41" s="240" t="s">
        <v>140</v>
      </c>
      <c r="D41" s="130">
        <v>300000</v>
      </c>
      <c r="E41" s="131">
        <v>2009</v>
      </c>
      <c r="F41" s="131" t="s">
        <v>11</v>
      </c>
      <c r="G41" s="726" t="s">
        <v>87</v>
      </c>
      <c r="H41" s="414">
        <v>49873.93</v>
      </c>
      <c r="I41" s="414">
        <v>126.07</v>
      </c>
      <c r="J41" s="413">
        <v>49873.93</v>
      </c>
      <c r="K41" s="354">
        <v>126.07</v>
      </c>
      <c r="L41" s="354">
        <f t="shared" si="3"/>
        <v>0</v>
      </c>
      <c r="M41" s="357">
        <f>+I41-K41</f>
        <v>0</v>
      </c>
    </row>
    <row r="42" spans="1:13" ht="47.25" x14ac:dyDescent="0.2">
      <c r="A42" s="235">
        <v>6</v>
      </c>
      <c r="B42" s="239" t="s">
        <v>170</v>
      </c>
      <c r="C42" s="240" t="s">
        <v>14</v>
      </c>
      <c r="D42" s="130">
        <v>1165000</v>
      </c>
      <c r="E42" s="131">
        <v>2019</v>
      </c>
      <c r="F42" s="131" t="s">
        <v>96</v>
      </c>
      <c r="G42" s="722">
        <v>0.02</v>
      </c>
      <c r="H42" s="414">
        <v>741000</v>
      </c>
      <c r="I42" s="413">
        <v>168.42972</v>
      </c>
      <c r="J42" s="595">
        <f>+J8</f>
        <v>71000</v>
      </c>
      <c r="K42" s="413">
        <f>+K8</f>
        <v>168.42972</v>
      </c>
      <c r="L42" s="413">
        <f t="shared" si="3"/>
        <v>670000</v>
      </c>
      <c r="M42" s="357">
        <f>+I42-K42</f>
        <v>0</v>
      </c>
    </row>
    <row r="43" spans="1:13" ht="21" thickBot="1" x14ac:dyDescent="0.25">
      <c r="A43" s="1190" t="s">
        <v>23</v>
      </c>
      <c r="B43" s="1191"/>
      <c r="C43" s="1191"/>
      <c r="D43" s="541">
        <f>+SUM(D37:D42)</f>
        <v>5485000</v>
      </c>
      <c r="E43" s="545"/>
      <c r="F43" s="546"/>
      <c r="G43" s="546"/>
      <c r="H43" s="541">
        <f t="shared" ref="H43:M43" si="4">+SUM(H37:H42)</f>
        <v>4303404.094490001</v>
      </c>
      <c r="I43" s="541">
        <f t="shared" si="4"/>
        <v>691231.22997860995</v>
      </c>
      <c r="J43" s="541">
        <f t="shared" si="4"/>
        <v>373216.12018999999</v>
      </c>
      <c r="K43" s="541">
        <f t="shared" si="4"/>
        <v>44110.719859999997</v>
      </c>
      <c r="L43" s="541">
        <f t="shared" si="4"/>
        <v>3930187.9742999999</v>
      </c>
      <c r="M43" s="590">
        <f t="shared" si="4"/>
        <v>719502.59644563904</v>
      </c>
    </row>
  </sheetData>
  <mergeCells count="40">
    <mergeCell ref="O3:Q4"/>
    <mergeCell ref="O5:P5"/>
    <mergeCell ref="O6:P6"/>
    <mergeCell ref="O7:P7"/>
    <mergeCell ref="O8:P8"/>
    <mergeCell ref="A9:C9"/>
    <mergeCell ref="A1:M1"/>
    <mergeCell ref="A2:M2"/>
    <mergeCell ref="B27:D27"/>
    <mergeCell ref="E27:F27"/>
    <mergeCell ref="H27:J27"/>
    <mergeCell ref="A24:C24"/>
    <mergeCell ref="O11:P11"/>
    <mergeCell ref="B28:D28"/>
    <mergeCell ref="E28:F28"/>
    <mergeCell ref="H28:J29"/>
    <mergeCell ref="A35:M35"/>
    <mergeCell ref="K28:L29"/>
    <mergeCell ref="B29:D29"/>
    <mergeCell ref="E29:F29"/>
    <mergeCell ref="A25:C25"/>
    <mergeCell ref="D19:D20"/>
    <mergeCell ref="H19:H20"/>
    <mergeCell ref="J19:J20"/>
    <mergeCell ref="K19:K20"/>
    <mergeCell ref="A43:C43"/>
    <mergeCell ref="O12:P12"/>
    <mergeCell ref="O13:P13"/>
    <mergeCell ref="O14:P14"/>
    <mergeCell ref="A34:M34"/>
    <mergeCell ref="A17:A18"/>
    <mergeCell ref="B17:B18"/>
    <mergeCell ref="C17:C18"/>
    <mergeCell ref="D17:D18"/>
    <mergeCell ref="H17:H18"/>
    <mergeCell ref="J17:J18"/>
    <mergeCell ref="K17:K18"/>
    <mergeCell ref="A19:A20"/>
    <mergeCell ref="B19:B20"/>
    <mergeCell ref="C19:C20"/>
  </mergeCells>
  <pageMargins left="0.15748031496062992" right="0.15748031496062992" top="0.17" bottom="0.19685039370078741" header="0.17" footer="0.19685039370078741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S37"/>
  <sheetViews>
    <sheetView tabSelected="1" view="pageBreakPreview" zoomScale="85" zoomScaleNormal="100" zoomScaleSheetLayoutView="85" zoomScalePageLayoutView="60" workbookViewId="0">
      <selection activeCell="G4" sqref="G4"/>
    </sheetView>
  </sheetViews>
  <sheetFormatPr defaultRowHeight="14.25" x14ac:dyDescent="0.2"/>
  <cols>
    <col min="1" max="1" width="5.42578125" style="973" customWidth="1"/>
    <col min="2" max="2" width="49.140625" style="976" customWidth="1"/>
    <col min="3" max="3" width="23.140625" style="973" customWidth="1"/>
    <col min="4" max="4" width="14.5703125" style="973" bestFit="1" customWidth="1"/>
    <col min="5" max="5" width="22.28515625" style="973" customWidth="1"/>
    <col min="6" max="6" width="15.42578125" style="973" customWidth="1"/>
    <col min="7" max="7" width="11.85546875" style="973" customWidth="1"/>
    <col min="8" max="8" width="18.42578125" style="973" customWidth="1"/>
    <col min="9" max="9" width="22.7109375" style="973" bestFit="1" customWidth="1"/>
    <col min="10" max="10" width="20" style="973" customWidth="1"/>
    <col min="11" max="11" width="18.42578125" style="973" customWidth="1"/>
    <col min="12" max="12" width="16.42578125" style="973" customWidth="1"/>
    <col min="13" max="13" width="21.42578125" style="973" customWidth="1"/>
    <col min="14" max="16384" width="9.140625" style="973"/>
  </cols>
  <sheetData>
    <row r="1" spans="1:13" s="972" customFormat="1" ht="28.5" customHeight="1" x14ac:dyDescent="0.25">
      <c r="A1" s="1342" t="s">
        <v>320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</row>
    <row r="2" spans="1:13" ht="19.5" customHeight="1" thickBot="1" x14ac:dyDescent="0.25">
      <c r="A2" s="1267" t="s">
        <v>319</v>
      </c>
      <c r="B2" s="1267"/>
      <c r="C2" s="1267"/>
      <c r="D2" s="1267"/>
      <c r="E2" s="1267"/>
      <c r="F2" s="1267"/>
      <c r="G2" s="1267"/>
      <c r="H2" s="1267"/>
      <c r="I2" s="1267"/>
      <c r="J2" s="1267"/>
      <c r="K2" s="1267"/>
      <c r="L2" s="1267"/>
      <c r="M2" s="1267"/>
    </row>
    <row r="3" spans="1:13" s="974" customFormat="1" ht="48" thickBot="1" x14ac:dyDescent="0.3">
      <c r="A3" s="980" t="s">
        <v>15</v>
      </c>
      <c r="B3" s="981" t="s">
        <v>0</v>
      </c>
      <c r="C3" s="982" t="s">
        <v>1</v>
      </c>
      <c r="D3" s="1343" t="s">
        <v>2</v>
      </c>
      <c r="E3" s="1344"/>
      <c r="F3" s="982" t="s">
        <v>3</v>
      </c>
      <c r="G3" s="982" t="s">
        <v>4</v>
      </c>
      <c r="H3" s="983" t="s">
        <v>18</v>
      </c>
      <c r="I3" s="982" t="s">
        <v>199</v>
      </c>
      <c r="J3" s="982" t="s">
        <v>203</v>
      </c>
      <c r="K3" s="982" t="s">
        <v>99</v>
      </c>
      <c r="L3" s="982" t="s">
        <v>147</v>
      </c>
      <c r="M3" s="984" t="s">
        <v>292</v>
      </c>
    </row>
    <row r="4" spans="1:13" ht="51.75" customHeight="1" x14ac:dyDescent="0.2">
      <c r="A4" s="534">
        <v>1</v>
      </c>
      <c r="B4" s="535" t="s">
        <v>5</v>
      </c>
      <c r="C4" s="536" t="s">
        <v>127</v>
      </c>
      <c r="D4" s="1282">
        <v>500000</v>
      </c>
      <c r="E4" s="1283"/>
      <c r="F4" s="536">
        <v>2012</v>
      </c>
      <c r="G4" s="536" t="s">
        <v>129</v>
      </c>
      <c r="H4" s="992" t="s">
        <v>7</v>
      </c>
      <c r="I4" s="915">
        <v>477027.92060000001</v>
      </c>
      <c r="J4" s="915">
        <v>426905.02931575099</v>
      </c>
      <c r="K4" s="915">
        <v>13080</v>
      </c>
      <c r="L4" s="323">
        <v>0</v>
      </c>
      <c r="M4" s="916">
        <v>463947.92060000001</v>
      </c>
    </row>
    <row r="5" spans="1:13" ht="35.25" customHeight="1" x14ac:dyDescent="0.2">
      <c r="A5" s="235">
        <v>2</v>
      </c>
      <c r="B5" s="236" t="s">
        <v>125</v>
      </c>
      <c r="C5" s="997" t="s">
        <v>137</v>
      </c>
      <c r="D5" s="1284">
        <v>2250000</v>
      </c>
      <c r="E5" s="1285"/>
      <c r="F5" s="997">
        <v>2016</v>
      </c>
      <c r="G5" s="997" t="s">
        <v>130</v>
      </c>
      <c r="H5" s="991">
        <v>0.02</v>
      </c>
      <c r="I5" s="998">
        <v>2012961.9251400002</v>
      </c>
      <c r="J5" s="917">
        <v>148255.9123541</v>
      </c>
      <c r="K5" s="933">
        <v>196878.07409000001</v>
      </c>
      <c r="L5" s="934">
        <v>36587.139049999998</v>
      </c>
      <c r="M5" s="918">
        <v>1816083.8510500002</v>
      </c>
    </row>
    <row r="6" spans="1:13" ht="35.25" customHeight="1" x14ac:dyDescent="0.2">
      <c r="A6" s="235">
        <v>3</v>
      </c>
      <c r="B6" s="236" t="s">
        <v>126</v>
      </c>
      <c r="C6" s="997" t="s">
        <v>137</v>
      </c>
      <c r="D6" s="1284">
        <v>1070000</v>
      </c>
      <c r="E6" s="1285"/>
      <c r="F6" s="997">
        <v>2016</v>
      </c>
      <c r="G6" s="997" t="s">
        <v>130</v>
      </c>
      <c r="H6" s="991">
        <v>0.02</v>
      </c>
      <c r="I6" s="998">
        <v>822540.31874999998</v>
      </c>
      <c r="J6" s="917">
        <v>115775.78858875899</v>
      </c>
      <c r="K6" s="933">
        <v>125506.81308000001</v>
      </c>
      <c r="L6" s="934">
        <v>24060.576070000003</v>
      </c>
      <c r="M6" s="918">
        <v>697033.50566999998</v>
      </c>
    </row>
    <row r="7" spans="1:13" ht="36" customHeight="1" x14ac:dyDescent="0.2">
      <c r="A7" s="235">
        <v>4</v>
      </c>
      <c r="B7" s="236" t="s">
        <v>19</v>
      </c>
      <c r="C7" s="997" t="s">
        <v>138</v>
      </c>
      <c r="D7" s="1284">
        <v>200000</v>
      </c>
      <c r="E7" s="1285"/>
      <c r="F7" s="997">
        <v>2012</v>
      </c>
      <c r="G7" s="997" t="s">
        <v>131</v>
      </c>
      <c r="H7" s="993" t="s">
        <v>12</v>
      </c>
      <c r="I7" s="919">
        <v>200000</v>
      </c>
      <c r="J7" s="323">
        <v>0</v>
      </c>
      <c r="K7" s="323">
        <v>0</v>
      </c>
      <c r="L7" s="323">
        <v>0</v>
      </c>
      <c r="M7" s="920">
        <v>200000</v>
      </c>
    </row>
    <row r="8" spans="1:13" ht="51.75" customHeight="1" x14ac:dyDescent="0.2">
      <c r="A8" s="235">
        <v>5</v>
      </c>
      <c r="B8" s="239" t="s">
        <v>170</v>
      </c>
      <c r="C8" s="240" t="s">
        <v>14</v>
      </c>
      <c r="D8" s="1286">
        <v>1165000</v>
      </c>
      <c r="E8" s="1287"/>
      <c r="F8" s="131">
        <v>2019</v>
      </c>
      <c r="G8" s="131" t="s">
        <v>305</v>
      </c>
      <c r="H8" s="991">
        <v>0.02</v>
      </c>
      <c r="I8" s="921">
        <v>741000</v>
      </c>
      <c r="J8" s="998">
        <v>168.42972</v>
      </c>
      <c r="K8" s="933">
        <v>110100</v>
      </c>
      <c r="L8" s="998">
        <v>14173.596390000001</v>
      </c>
      <c r="M8" s="920">
        <v>630900</v>
      </c>
    </row>
    <row r="9" spans="1:13" s="974" customFormat="1" ht="21" customHeight="1" x14ac:dyDescent="0.25">
      <c r="A9" s="1345" t="s">
        <v>284</v>
      </c>
      <c r="B9" s="1346"/>
      <c r="C9" s="1347"/>
      <c r="D9" s="1348">
        <v>5185000</v>
      </c>
      <c r="E9" s="1349"/>
      <c r="F9" s="1350"/>
      <c r="G9" s="1351"/>
      <c r="H9" s="1352"/>
      <c r="I9" s="1353">
        <v>4253530.1644900003</v>
      </c>
      <c r="J9" s="1353">
        <v>691105.15997861</v>
      </c>
      <c r="K9" s="1354">
        <v>445564.88717</v>
      </c>
      <c r="L9" s="1354">
        <v>74821.31151</v>
      </c>
      <c r="M9" s="1355">
        <v>3807965.2773199999</v>
      </c>
    </row>
    <row r="10" spans="1:13" s="974" customFormat="1" ht="21" customHeight="1" thickBot="1" x14ac:dyDescent="0.3">
      <c r="A10" s="1356"/>
      <c r="B10" s="1357"/>
      <c r="C10" s="1358"/>
      <c r="D10" s="1359"/>
      <c r="E10" s="1360"/>
      <c r="F10" s="1361"/>
      <c r="G10" s="1362"/>
      <c r="H10" s="1363"/>
      <c r="I10" s="1364"/>
      <c r="J10" s="1365"/>
      <c r="K10" s="1353">
        <v>520386.19868000003</v>
      </c>
      <c r="L10" s="1353"/>
      <c r="M10" s="1366"/>
    </row>
    <row r="11" spans="1:13" s="974" customFormat="1" ht="65.25" customHeight="1" thickBot="1" x14ac:dyDescent="0.3">
      <c r="A11" s="980" t="s">
        <v>15</v>
      </c>
      <c r="B11" s="981" t="s">
        <v>0</v>
      </c>
      <c r="C11" s="982" t="s">
        <v>1</v>
      </c>
      <c r="D11" s="982" t="s">
        <v>291</v>
      </c>
      <c r="E11" s="982" t="s">
        <v>290</v>
      </c>
      <c r="F11" s="982" t="s">
        <v>3</v>
      </c>
      <c r="G11" s="982" t="s">
        <v>4</v>
      </c>
      <c r="H11" s="983" t="s">
        <v>18</v>
      </c>
      <c r="I11" s="982" t="s">
        <v>199</v>
      </c>
      <c r="J11" s="982" t="s">
        <v>203</v>
      </c>
      <c r="K11" s="982" t="s">
        <v>99</v>
      </c>
      <c r="L11" s="982" t="s">
        <v>147</v>
      </c>
      <c r="M11" s="984" t="s">
        <v>285</v>
      </c>
    </row>
    <row r="12" spans="1:13" ht="34.5" customHeight="1" x14ac:dyDescent="0.2">
      <c r="A12" s="235">
        <v>6</v>
      </c>
      <c r="B12" s="239" t="s">
        <v>282</v>
      </c>
      <c r="C12" s="240" t="s">
        <v>140</v>
      </c>
      <c r="D12" s="130">
        <v>50</v>
      </c>
      <c r="E12" s="940">
        <v>49873.93</v>
      </c>
      <c r="F12" s="131">
        <v>2023</v>
      </c>
      <c r="G12" s="131" t="s">
        <v>11</v>
      </c>
      <c r="H12" s="737" t="s">
        <v>87</v>
      </c>
      <c r="I12" s="921">
        <v>49873.93</v>
      </c>
      <c r="J12" s="921">
        <v>126.07</v>
      </c>
      <c r="K12" s="998">
        <v>49873.93</v>
      </c>
      <c r="L12" s="998">
        <v>126.07</v>
      </c>
      <c r="M12" s="371">
        <v>0</v>
      </c>
    </row>
    <row r="13" spans="1:13" ht="31.5" customHeight="1" x14ac:dyDescent="0.2">
      <c r="A13" s="995">
        <v>7</v>
      </c>
      <c r="B13" s="996" t="s">
        <v>306</v>
      </c>
      <c r="C13" s="1241" t="s">
        <v>157</v>
      </c>
      <c r="D13" s="994">
        <v>50</v>
      </c>
      <c r="E13" s="941">
        <v>50000</v>
      </c>
      <c r="F13" s="730">
        <v>45308</v>
      </c>
      <c r="G13" s="131" t="s">
        <v>158</v>
      </c>
      <c r="H13" s="991">
        <v>0.08</v>
      </c>
      <c r="I13" s="323">
        <v>0</v>
      </c>
      <c r="J13" s="323">
        <v>0</v>
      </c>
      <c r="K13" s="935">
        <v>50000</v>
      </c>
      <c r="L13" s="937">
        <v>2000</v>
      </c>
      <c r="M13" s="741">
        <v>0</v>
      </c>
    </row>
    <row r="14" spans="1:13" ht="31.5" customHeight="1" x14ac:dyDescent="0.2">
      <c r="A14" s="995">
        <v>8</v>
      </c>
      <c r="B14" s="996" t="s">
        <v>307</v>
      </c>
      <c r="C14" s="1367"/>
      <c r="D14" s="994">
        <v>30</v>
      </c>
      <c r="E14" s="941">
        <v>30000</v>
      </c>
      <c r="F14" s="730">
        <v>45308</v>
      </c>
      <c r="G14" s="131" t="s">
        <v>160</v>
      </c>
      <c r="H14" s="991">
        <v>0.1</v>
      </c>
      <c r="I14" s="323" t="s">
        <v>258</v>
      </c>
      <c r="J14" s="323" t="s">
        <v>258</v>
      </c>
      <c r="K14" s="323" t="s">
        <v>258</v>
      </c>
      <c r="L14" s="998">
        <v>1500</v>
      </c>
      <c r="M14" s="922">
        <v>31500</v>
      </c>
    </row>
    <row r="15" spans="1:13" ht="30" customHeight="1" x14ac:dyDescent="0.2">
      <c r="A15" s="995">
        <v>9</v>
      </c>
      <c r="B15" s="996" t="s">
        <v>308</v>
      </c>
      <c r="C15" s="1367"/>
      <c r="D15" s="994">
        <v>20</v>
      </c>
      <c r="E15" s="941">
        <v>20000</v>
      </c>
      <c r="F15" s="730">
        <v>45308</v>
      </c>
      <c r="G15" s="131" t="s">
        <v>162</v>
      </c>
      <c r="H15" s="991">
        <v>0.12</v>
      </c>
      <c r="I15" s="323">
        <v>0</v>
      </c>
      <c r="J15" s="323">
        <v>0</v>
      </c>
      <c r="K15" s="323">
        <v>0</v>
      </c>
      <c r="L15" s="998">
        <v>1800</v>
      </c>
      <c r="M15" s="922">
        <v>23000</v>
      </c>
    </row>
    <row r="16" spans="1:13" ht="31.5" customHeight="1" x14ac:dyDescent="0.2">
      <c r="A16" s="995">
        <v>10</v>
      </c>
      <c r="B16" s="996" t="s">
        <v>309</v>
      </c>
      <c r="C16" s="1367"/>
      <c r="D16" s="994">
        <v>30</v>
      </c>
      <c r="E16" s="941">
        <v>29150.436089999999</v>
      </c>
      <c r="F16" s="532">
        <v>45379</v>
      </c>
      <c r="G16" s="997" t="s">
        <v>158</v>
      </c>
      <c r="H16" s="991" t="s">
        <v>249</v>
      </c>
      <c r="I16" s="323">
        <v>0</v>
      </c>
      <c r="J16" s="323">
        <v>0</v>
      </c>
      <c r="K16" s="936">
        <v>29150.436089999999</v>
      </c>
      <c r="L16" s="998">
        <v>849.56390999999996</v>
      </c>
      <c r="M16" s="922" t="s">
        <v>258</v>
      </c>
    </row>
    <row r="17" spans="1:13" ht="31.5" x14ac:dyDescent="0.2">
      <c r="A17" s="995">
        <v>11</v>
      </c>
      <c r="B17" s="996" t="s">
        <v>310</v>
      </c>
      <c r="C17" s="1367"/>
      <c r="D17" s="994">
        <v>50</v>
      </c>
      <c r="E17" s="941">
        <v>48631.515379999903</v>
      </c>
      <c r="F17" s="730">
        <v>45401</v>
      </c>
      <c r="G17" s="997" t="s">
        <v>158</v>
      </c>
      <c r="H17" s="991" t="s">
        <v>249</v>
      </c>
      <c r="I17" s="323">
        <v>0</v>
      </c>
      <c r="J17" s="323">
        <v>0</v>
      </c>
      <c r="K17" s="936">
        <v>48631.515379999903</v>
      </c>
      <c r="L17" s="998">
        <v>1368.4846199999999</v>
      </c>
      <c r="M17" s="922" t="s">
        <v>258</v>
      </c>
    </row>
    <row r="18" spans="1:13" ht="31.5" x14ac:dyDescent="0.2">
      <c r="A18" s="995">
        <v>12</v>
      </c>
      <c r="B18" s="996" t="s">
        <v>311</v>
      </c>
      <c r="C18" s="1367"/>
      <c r="D18" s="994">
        <v>50</v>
      </c>
      <c r="E18" s="941">
        <v>48370.777249999999</v>
      </c>
      <c r="F18" s="532">
        <v>45436</v>
      </c>
      <c r="G18" s="997" t="s">
        <v>158</v>
      </c>
      <c r="H18" s="991" t="s">
        <v>250</v>
      </c>
      <c r="I18" s="323">
        <v>0</v>
      </c>
      <c r="J18" s="323">
        <v>0</v>
      </c>
      <c r="K18" s="936">
        <v>48370.777249999999</v>
      </c>
      <c r="L18" s="998">
        <v>1629.2227499999999</v>
      </c>
      <c r="M18" s="922" t="s">
        <v>258</v>
      </c>
    </row>
    <row r="19" spans="1:13" ht="17.25" customHeight="1" x14ac:dyDescent="0.2">
      <c r="A19" s="1237">
        <v>13</v>
      </c>
      <c r="B19" s="1239" t="s">
        <v>312</v>
      </c>
      <c r="C19" s="1367"/>
      <c r="D19" s="1243">
        <v>50</v>
      </c>
      <c r="E19" s="1276">
        <v>48739.5092</v>
      </c>
      <c r="F19" s="532">
        <v>45464</v>
      </c>
      <c r="G19" s="997" t="s">
        <v>158</v>
      </c>
      <c r="H19" s="991" t="s">
        <v>257</v>
      </c>
      <c r="I19" s="1241">
        <v>0</v>
      </c>
      <c r="J19" s="1278">
        <v>0</v>
      </c>
      <c r="K19" s="1279">
        <v>48739.509209999997</v>
      </c>
      <c r="L19" s="1279">
        <v>1260.4907900000001</v>
      </c>
      <c r="M19" s="1280" t="s">
        <v>258</v>
      </c>
    </row>
    <row r="20" spans="1:13" ht="18" customHeight="1" x14ac:dyDescent="0.2">
      <c r="A20" s="1238"/>
      <c r="B20" s="1240"/>
      <c r="C20" s="1367"/>
      <c r="D20" s="1244"/>
      <c r="E20" s="1277"/>
      <c r="F20" s="532">
        <v>45561</v>
      </c>
      <c r="G20" s="997" t="s">
        <v>254</v>
      </c>
      <c r="H20" s="991" t="s">
        <v>255</v>
      </c>
      <c r="I20" s="1242"/>
      <c r="J20" s="1278"/>
      <c r="K20" s="1279"/>
      <c r="L20" s="1279"/>
      <c r="M20" s="1281"/>
    </row>
    <row r="21" spans="1:13" ht="16.5" customHeight="1" x14ac:dyDescent="0.2">
      <c r="A21" s="1237">
        <v>14</v>
      </c>
      <c r="B21" s="1239" t="s">
        <v>313</v>
      </c>
      <c r="C21" s="1367"/>
      <c r="D21" s="1243">
        <v>50</v>
      </c>
      <c r="E21" s="129">
        <v>33904.36565</v>
      </c>
      <c r="F21" s="730">
        <v>45489</v>
      </c>
      <c r="G21" s="997" t="s">
        <v>158</v>
      </c>
      <c r="H21" s="991" t="s">
        <v>249</v>
      </c>
      <c r="I21" s="1241">
        <v>0</v>
      </c>
      <c r="J21" s="1278">
        <v>0</v>
      </c>
      <c r="K21" s="323">
        <v>0</v>
      </c>
      <c r="L21" s="323">
        <v>0</v>
      </c>
      <c r="M21" s="922">
        <v>35000</v>
      </c>
    </row>
    <row r="22" spans="1:13" ht="18" customHeight="1" x14ac:dyDescent="0.2">
      <c r="A22" s="1238"/>
      <c r="B22" s="1240"/>
      <c r="C22" s="1367"/>
      <c r="D22" s="1244"/>
      <c r="E22" s="129">
        <v>14665.523010000001</v>
      </c>
      <c r="F22" s="532">
        <v>45561</v>
      </c>
      <c r="G22" s="997" t="s">
        <v>253</v>
      </c>
      <c r="H22" s="991" t="s">
        <v>256</v>
      </c>
      <c r="I22" s="1242"/>
      <c r="J22" s="1278"/>
      <c r="K22" s="323">
        <v>0</v>
      </c>
      <c r="L22" s="323">
        <v>0</v>
      </c>
      <c r="M22" s="922">
        <v>15000</v>
      </c>
    </row>
    <row r="23" spans="1:13" ht="31.5" x14ac:dyDescent="0.2">
      <c r="A23" s="995">
        <v>15</v>
      </c>
      <c r="B23" s="996" t="s">
        <v>314</v>
      </c>
      <c r="C23" s="1367"/>
      <c r="D23" s="994">
        <v>50</v>
      </c>
      <c r="E23" s="941">
        <v>50000</v>
      </c>
      <c r="F23" s="730">
        <v>45527</v>
      </c>
      <c r="G23" s="997" t="s">
        <v>242</v>
      </c>
      <c r="H23" s="991" t="s">
        <v>259</v>
      </c>
      <c r="I23" s="997">
        <v>0</v>
      </c>
      <c r="J23" s="997">
        <v>0</v>
      </c>
      <c r="K23" s="323" t="s">
        <v>32</v>
      </c>
      <c r="L23" s="936">
        <v>1500</v>
      </c>
      <c r="M23" s="922">
        <v>60500</v>
      </c>
    </row>
    <row r="24" spans="1:13" ht="15.75" customHeight="1" x14ac:dyDescent="0.2">
      <c r="A24" s="1237">
        <v>16</v>
      </c>
      <c r="B24" s="1239" t="s">
        <v>315</v>
      </c>
      <c r="C24" s="1367"/>
      <c r="D24" s="1243">
        <v>50</v>
      </c>
      <c r="E24" s="129">
        <v>14744.23819</v>
      </c>
      <c r="F24" s="730">
        <v>45561</v>
      </c>
      <c r="G24" s="997" t="s">
        <v>158</v>
      </c>
      <c r="H24" s="991" t="s">
        <v>251</v>
      </c>
      <c r="I24" s="1241">
        <v>0</v>
      </c>
      <c r="J24" s="1278">
        <v>0</v>
      </c>
      <c r="K24" s="323">
        <v>0</v>
      </c>
      <c r="L24" s="323">
        <v>0</v>
      </c>
      <c r="M24" s="922">
        <v>15313</v>
      </c>
    </row>
    <row r="25" spans="1:13" ht="16.5" customHeight="1" x14ac:dyDescent="0.2">
      <c r="A25" s="1238"/>
      <c r="B25" s="1240"/>
      <c r="C25" s="1367"/>
      <c r="D25" s="1244"/>
      <c r="E25" s="129">
        <v>33872.864000000001</v>
      </c>
      <c r="F25" s="730">
        <v>45617</v>
      </c>
      <c r="G25" s="997" t="s">
        <v>266</v>
      </c>
      <c r="H25" s="991" t="s">
        <v>263</v>
      </c>
      <c r="I25" s="1242"/>
      <c r="J25" s="1278"/>
      <c r="K25" s="323">
        <v>0</v>
      </c>
      <c r="L25" s="323">
        <v>0</v>
      </c>
      <c r="M25" s="922">
        <v>34687</v>
      </c>
    </row>
    <row r="26" spans="1:13" ht="31.5" x14ac:dyDescent="0.2">
      <c r="A26" s="995">
        <v>17</v>
      </c>
      <c r="B26" s="996" t="s">
        <v>316</v>
      </c>
      <c r="C26" s="1367"/>
      <c r="D26" s="994">
        <v>60</v>
      </c>
      <c r="E26" s="941">
        <v>58055.329469999902</v>
      </c>
      <c r="F26" s="730">
        <v>45580</v>
      </c>
      <c r="G26" s="997" t="s">
        <v>158</v>
      </c>
      <c r="H26" s="991" t="s">
        <v>262</v>
      </c>
      <c r="I26" s="997">
        <v>0</v>
      </c>
      <c r="J26" s="997">
        <v>0</v>
      </c>
      <c r="K26" s="323">
        <v>0</v>
      </c>
      <c r="L26" s="323">
        <v>0</v>
      </c>
      <c r="M26" s="922">
        <v>59999.999999999905</v>
      </c>
    </row>
    <row r="27" spans="1:13" ht="31.5" x14ac:dyDescent="0.2">
      <c r="A27" s="995">
        <v>18</v>
      </c>
      <c r="B27" s="996" t="s">
        <v>317</v>
      </c>
      <c r="C27" s="1367"/>
      <c r="D27" s="994">
        <v>40</v>
      </c>
      <c r="E27" s="941">
        <v>40000</v>
      </c>
      <c r="F27" s="730">
        <v>45617</v>
      </c>
      <c r="G27" s="997" t="s">
        <v>158</v>
      </c>
      <c r="H27" s="991">
        <v>0.1</v>
      </c>
      <c r="I27" s="997">
        <v>0</v>
      </c>
      <c r="J27" s="997">
        <v>0</v>
      </c>
      <c r="K27" s="323">
        <v>0</v>
      </c>
      <c r="L27" s="323">
        <v>0</v>
      </c>
      <c r="M27" s="922">
        <v>44000</v>
      </c>
    </row>
    <row r="28" spans="1:13" ht="31.5" x14ac:dyDescent="0.2">
      <c r="A28" s="995">
        <v>19</v>
      </c>
      <c r="B28" s="996" t="s">
        <v>318</v>
      </c>
      <c r="C28" s="1242"/>
      <c r="D28" s="994">
        <v>50</v>
      </c>
      <c r="E28" s="941">
        <v>48394.397040000003</v>
      </c>
      <c r="F28" s="730">
        <v>45645</v>
      </c>
      <c r="G28" s="997" t="s">
        <v>158</v>
      </c>
      <c r="H28" s="991" t="s">
        <v>263</v>
      </c>
      <c r="I28" s="323">
        <v>0</v>
      </c>
      <c r="J28" s="323">
        <v>0</v>
      </c>
      <c r="K28" s="323">
        <v>0</v>
      </c>
      <c r="L28" s="323">
        <v>0</v>
      </c>
      <c r="M28" s="922">
        <v>50000</v>
      </c>
    </row>
    <row r="29" spans="1:13" s="974" customFormat="1" ht="20.25" customHeight="1" x14ac:dyDescent="0.25">
      <c r="A29" s="1345" t="s">
        <v>283</v>
      </c>
      <c r="B29" s="1346"/>
      <c r="C29" s="1347"/>
      <c r="D29" s="1368">
        <v>630</v>
      </c>
      <c r="E29" s="1368">
        <v>618402.88527999981</v>
      </c>
      <c r="F29" s="1350"/>
      <c r="G29" s="1351"/>
      <c r="H29" s="1352"/>
      <c r="I29" s="1353">
        <v>49873.93</v>
      </c>
      <c r="J29" s="1353">
        <v>126.07</v>
      </c>
      <c r="K29" s="1354">
        <v>274766.16792999988</v>
      </c>
      <c r="L29" s="1354">
        <v>12033.83207</v>
      </c>
      <c r="M29" s="1369">
        <v>368999.99999999988</v>
      </c>
    </row>
    <row r="30" spans="1:13" s="974" customFormat="1" ht="21" customHeight="1" thickBot="1" x14ac:dyDescent="0.3">
      <c r="A30" s="1370"/>
      <c r="B30" s="1371"/>
      <c r="C30" s="1372"/>
      <c r="D30" s="1373"/>
      <c r="E30" s="1373"/>
      <c r="F30" s="1374"/>
      <c r="G30" s="1375"/>
      <c r="H30" s="1376"/>
      <c r="I30" s="1365"/>
      <c r="J30" s="1365"/>
      <c r="K30" s="1377">
        <v>286799.99999999988</v>
      </c>
      <c r="L30" s="1378"/>
      <c r="M30" s="1379"/>
    </row>
    <row r="31" spans="1:13" s="974" customFormat="1" ht="26.25" customHeight="1" thickBot="1" x14ac:dyDescent="0.3">
      <c r="A31" s="1380" t="s">
        <v>23</v>
      </c>
      <c r="B31" s="1381"/>
      <c r="C31" s="1381"/>
      <c r="D31" s="1382"/>
      <c r="E31" s="1383">
        <v>618402.88527999981</v>
      </c>
      <c r="F31" s="1384"/>
      <c r="G31" s="1385"/>
      <c r="H31" s="1385"/>
      <c r="I31" s="1383">
        <v>4303404.09449</v>
      </c>
      <c r="J31" s="1386">
        <v>691231.22997860995</v>
      </c>
      <c r="K31" s="1387">
        <v>720331.05509999988</v>
      </c>
      <c r="L31" s="1387">
        <v>86855.143580000004</v>
      </c>
      <c r="M31" s="1388">
        <v>4176965.2773199999</v>
      </c>
    </row>
    <row r="32" spans="1:13" ht="24" customHeight="1" thickBot="1" x14ac:dyDescent="0.3">
      <c r="A32" s="1389"/>
      <c r="B32" s="1390"/>
      <c r="C32" s="1391"/>
      <c r="D32" s="1391"/>
      <c r="E32" s="1392"/>
      <c r="F32" s="1341"/>
      <c r="G32" s="1391"/>
      <c r="H32" s="1391"/>
      <c r="I32" s="1393"/>
      <c r="J32" s="1394"/>
      <c r="K32" s="1395">
        <v>807186.19867999991</v>
      </c>
      <c r="L32" s="1396"/>
      <c r="M32" s="1397"/>
    </row>
    <row r="33" spans="1:13" ht="24" customHeight="1" x14ac:dyDescent="0.2">
      <c r="A33" s="970"/>
      <c r="B33" s="970"/>
      <c r="C33" s="969"/>
      <c r="D33" s="970"/>
      <c r="E33" s="968"/>
      <c r="F33" s="363"/>
      <c r="G33" s="1290"/>
      <c r="H33" s="1290"/>
      <c r="I33" s="1288"/>
      <c r="J33" s="1288"/>
      <c r="K33" s="1289"/>
      <c r="L33" s="1289"/>
      <c r="M33" s="985"/>
    </row>
    <row r="34" spans="1:13" ht="21" customHeight="1" x14ac:dyDescent="0.2">
      <c r="A34" s="986"/>
      <c r="B34" s="1269" t="s">
        <v>88</v>
      </c>
      <c r="C34" s="1269"/>
      <c r="D34" s="1269"/>
      <c r="E34" s="1269"/>
      <c r="F34" s="1270">
        <v>153402.20000000001</v>
      </c>
      <c r="G34" s="1270"/>
      <c r="H34" s="986"/>
      <c r="I34" s="1273" t="s">
        <v>293</v>
      </c>
      <c r="J34" s="1273"/>
      <c r="K34" s="1273"/>
      <c r="L34" s="987">
        <v>126438.81717000017</v>
      </c>
      <c r="M34" s="988">
        <v>2.9381116528631398E-2</v>
      </c>
    </row>
    <row r="35" spans="1:13" ht="21" customHeight="1" x14ac:dyDescent="0.2">
      <c r="A35" s="986"/>
      <c r="B35" s="1269" t="s">
        <v>294</v>
      </c>
      <c r="C35" s="1269"/>
      <c r="D35" s="1269"/>
      <c r="E35" s="1269"/>
      <c r="F35" s="1274">
        <v>2.7228848590958928E-2</v>
      </c>
      <c r="G35" s="1274"/>
      <c r="H35" s="989"/>
      <c r="I35" s="1275" t="s">
        <v>90</v>
      </c>
      <c r="J35" s="1275"/>
      <c r="K35" s="1275"/>
      <c r="L35" s="1268">
        <v>807186.19867999991</v>
      </c>
      <c r="M35" s="1268"/>
    </row>
    <row r="36" spans="1:13" s="975" customFormat="1" ht="21" customHeight="1" x14ac:dyDescent="0.25">
      <c r="A36" s="986"/>
      <c r="B36" s="1271" t="s">
        <v>295</v>
      </c>
      <c r="C36" s="1271"/>
      <c r="D36" s="1271"/>
      <c r="E36" s="1271"/>
      <c r="F36" s="1272">
        <v>386283.91940591129</v>
      </c>
      <c r="G36" s="1272"/>
      <c r="H36" s="990">
        <v>10.8132</v>
      </c>
      <c r="I36" s="1275"/>
      <c r="J36" s="1275"/>
      <c r="K36" s="1275"/>
      <c r="L36" s="1268"/>
      <c r="M36" s="1268"/>
    </row>
    <row r="37" spans="1:13" s="975" customFormat="1" ht="17.25" customHeight="1" x14ac:dyDescent="0.25">
      <c r="A37" s="971"/>
      <c r="B37" s="976"/>
      <c r="C37" s="973"/>
      <c r="D37" s="973"/>
      <c r="E37" s="977"/>
      <c r="F37" s="973"/>
      <c r="G37" s="973"/>
      <c r="H37" s="979"/>
      <c r="I37" s="978"/>
      <c r="J37" s="978"/>
      <c r="K37" s="978"/>
      <c r="L37" s="978"/>
      <c r="M37" s="978"/>
    </row>
  </sheetData>
  <mergeCells count="60">
    <mergeCell ref="I33:J33"/>
    <mergeCell ref="K33:L33"/>
    <mergeCell ref="G32:H32"/>
    <mergeCell ref="G33:H33"/>
    <mergeCell ref="C32:D32"/>
    <mergeCell ref="K32:L32"/>
    <mergeCell ref="I32:J32"/>
    <mergeCell ref="D8:E8"/>
    <mergeCell ref="D9:E10"/>
    <mergeCell ref="D19:D20"/>
    <mergeCell ref="D21:D22"/>
    <mergeCell ref="D24:D25"/>
    <mergeCell ref="D3:E3"/>
    <mergeCell ref="D4:E4"/>
    <mergeCell ref="D5:E5"/>
    <mergeCell ref="D6:E6"/>
    <mergeCell ref="D7:E7"/>
    <mergeCell ref="M29:M30"/>
    <mergeCell ref="I24:I25"/>
    <mergeCell ref="J24:J25"/>
    <mergeCell ref="K19:K20"/>
    <mergeCell ref="L19:L20"/>
    <mergeCell ref="I21:I22"/>
    <mergeCell ref="J21:J22"/>
    <mergeCell ref="M19:M20"/>
    <mergeCell ref="K30:L30"/>
    <mergeCell ref="A21:A22"/>
    <mergeCell ref="J9:J10"/>
    <mergeCell ref="A19:A20"/>
    <mergeCell ref="B19:B20"/>
    <mergeCell ref="E19:E20"/>
    <mergeCell ref="C13:C28"/>
    <mergeCell ref="A24:A25"/>
    <mergeCell ref="B24:B25"/>
    <mergeCell ref="B21:B22"/>
    <mergeCell ref="I19:I20"/>
    <mergeCell ref="J19:J20"/>
    <mergeCell ref="L35:M36"/>
    <mergeCell ref="A31:C31"/>
    <mergeCell ref="B34:E34"/>
    <mergeCell ref="A29:C30"/>
    <mergeCell ref="E29:E30"/>
    <mergeCell ref="F29:H30"/>
    <mergeCell ref="I29:I30"/>
    <mergeCell ref="J29:J30"/>
    <mergeCell ref="F34:G34"/>
    <mergeCell ref="B36:E36"/>
    <mergeCell ref="F36:G36"/>
    <mergeCell ref="I34:K34"/>
    <mergeCell ref="B35:E35"/>
    <mergeCell ref="F35:G35"/>
    <mergeCell ref="I35:K36"/>
    <mergeCell ref="D29:D30"/>
    <mergeCell ref="K10:L10"/>
    <mergeCell ref="M9:M10"/>
    <mergeCell ref="A1:M1"/>
    <mergeCell ref="A2:M2"/>
    <mergeCell ref="A9:C10"/>
    <mergeCell ref="F9:H10"/>
    <mergeCell ref="I9:I10"/>
  </mergeCells>
  <pageMargins left="0.39370078740157483" right="0.15748031496062992" top="0.15748031496062992" bottom="0.19685039370078741" header="0.15748031496062992" footer="0.19685039370078741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3"/>
  <sheetViews>
    <sheetView workbookViewId="0">
      <selection activeCell="C5" sqref="C5"/>
    </sheetView>
  </sheetViews>
  <sheetFormatPr defaultColWidth="8.85546875" defaultRowHeight="14.25" x14ac:dyDescent="0.2"/>
  <cols>
    <col min="1" max="1" width="4.7109375" style="557" customWidth="1"/>
    <col min="2" max="2" width="47.5703125" style="13" customWidth="1"/>
    <col min="3" max="3" width="23.85546875" style="557" customWidth="1"/>
    <col min="4" max="4" width="16.5703125" style="127" customWidth="1"/>
    <col min="5" max="5" width="23.7109375" style="557" customWidth="1"/>
    <col min="6" max="6" width="25.5703125" style="963" customWidth="1"/>
    <col min="7" max="7" width="27.85546875" style="557" customWidth="1"/>
    <col min="8" max="8" width="20.42578125" style="557" bestFit="1" customWidth="1"/>
    <col min="9" max="16384" width="8.85546875" style="557"/>
  </cols>
  <sheetData>
    <row r="1" spans="1:8" ht="22.5" x14ac:dyDescent="0.2">
      <c r="A1" s="1293" t="s">
        <v>296</v>
      </c>
      <c r="B1" s="1294"/>
      <c r="C1" s="1294"/>
      <c r="D1" s="1294"/>
      <c r="E1" s="1294"/>
      <c r="F1" s="1295"/>
    </row>
    <row r="2" spans="1:8" ht="16.5" thickBot="1" x14ac:dyDescent="0.25">
      <c r="A2" s="1207" t="s">
        <v>33</v>
      </c>
      <c r="B2" s="1208"/>
      <c r="C2" s="1208"/>
      <c r="D2" s="1208"/>
      <c r="E2" s="1208"/>
      <c r="F2" s="1296"/>
    </row>
    <row r="3" spans="1:8" x14ac:dyDescent="0.2">
      <c r="A3" s="1209" t="s">
        <v>15</v>
      </c>
      <c r="B3" s="1211" t="s">
        <v>34</v>
      </c>
      <c r="C3" s="1213" t="s">
        <v>119</v>
      </c>
      <c r="D3" s="1215" t="s">
        <v>35</v>
      </c>
      <c r="E3" s="1217" t="s">
        <v>297</v>
      </c>
      <c r="F3" s="1213" t="s">
        <v>298</v>
      </c>
    </row>
    <row r="4" spans="1:8" ht="39.75" customHeight="1" thickBot="1" x14ac:dyDescent="0.25">
      <c r="A4" s="1210"/>
      <c r="B4" s="1212"/>
      <c r="C4" s="1214"/>
      <c r="D4" s="1216"/>
      <c r="E4" s="1218"/>
      <c r="F4" s="1214"/>
    </row>
    <row r="5" spans="1:8" ht="54.75" thickBot="1" x14ac:dyDescent="0.25">
      <c r="A5" s="143">
        <v>3</v>
      </c>
      <c r="B5" s="146" t="s">
        <v>39</v>
      </c>
      <c r="C5" s="942">
        <v>483610.93514000002</v>
      </c>
      <c r="D5" s="147" t="s">
        <v>21</v>
      </c>
      <c r="E5" s="942">
        <f>+'[2]Ба Вазир 31-12-22 '!K4</f>
        <v>0</v>
      </c>
      <c r="F5" s="944">
        <f>C5-E5</f>
        <v>483610.93514000002</v>
      </c>
    </row>
    <row r="6" spans="1:8" ht="54.75" thickBot="1" x14ac:dyDescent="0.25">
      <c r="A6" s="110">
        <v>2</v>
      </c>
      <c r="B6" s="144" t="s">
        <v>299</v>
      </c>
      <c r="C6" s="942">
        <v>59009.616000000002</v>
      </c>
      <c r="D6" s="145" t="s">
        <v>300</v>
      </c>
      <c r="E6" s="942">
        <f>+'[2]Ба Вазир 31-12-22 '!K5</f>
        <v>0</v>
      </c>
      <c r="F6" s="943">
        <f>C6-E6</f>
        <v>59009.616000000002</v>
      </c>
      <c r="H6" s="105"/>
    </row>
    <row r="7" spans="1:8" ht="54.75" thickBot="1" x14ac:dyDescent="0.25">
      <c r="A7" s="143">
        <v>3</v>
      </c>
      <c r="B7" s="146" t="s">
        <v>39</v>
      </c>
      <c r="C7" s="942">
        <v>483610.93514000002</v>
      </c>
      <c r="D7" s="147" t="s">
        <v>21</v>
      </c>
      <c r="E7" s="942">
        <f>+'[2]Ба Вазир 31-12-22 '!K6</f>
        <v>477351.42060000001</v>
      </c>
      <c r="F7" s="944">
        <f>C7-E7</f>
        <v>6259.5145400000038</v>
      </c>
    </row>
    <row r="8" spans="1:8" ht="54.75" thickBot="1" x14ac:dyDescent="0.25">
      <c r="A8" s="110">
        <v>4</v>
      </c>
      <c r="B8" s="144" t="s">
        <v>36</v>
      </c>
      <c r="C8" s="942">
        <v>2133292.548</v>
      </c>
      <c r="D8" s="125" t="s">
        <v>37</v>
      </c>
      <c r="E8" s="942">
        <f>+'[2]Ба Вазир 31-12-22 '!K7</f>
        <v>2118346.2953900001</v>
      </c>
      <c r="F8" s="943">
        <f>C8-E8</f>
        <v>14946.25260999985</v>
      </c>
      <c r="H8" s="115"/>
    </row>
    <row r="9" spans="1:8" ht="54.75" thickBot="1" x14ac:dyDescent="0.25">
      <c r="A9" s="143">
        <v>5</v>
      </c>
      <c r="B9" s="146" t="s">
        <v>38</v>
      </c>
      <c r="C9" s="942">
        <v>1023711.8895</v>
      </c>
      <c r="D9" s="126" t="s">
        <v>22</v>
      </c>
      <c r="E9" s="942">
        <f>+'[2]Ба Вазир 31-12-22 '!K8</f>
        <v>931301.98450000002</v>
      </c>
      <c r="F9" s="944">
        <f t="shared" ref="F9:F15" si="0">C9-E9</f>
        <v>92409.905000000028</v>
      </c>
    </row>
    <row r="10" spans="1:8" ht="36.75" thickBot="1" x14ac:dyDescent="0.25">
      <c r="A10" s="110">
        <v>6</v>
      </c>
      <c r="B10" s="144" t="s">
        <v>301</v>
      </c>
      <c r="C10" s="942">
        <v>121999.067</v>
      </c>
      <c r="D10" s="148" t="s">
        <v>21</v>
      </c>
      <c r="E10" s="942">
        <f>+'[2]Ба Вазир 31-12-22 '!K9</f>
        <v>0</v>
      </c>
      <c r="F10" s="943">
        <f>C10-E10</f>
        <v>121999.067</v>
      </c>
    </row>
    <row r="11" spans="1:8" ht="54.75" thickBot="1" x14ac:dyDescent="0.25">
      <c r="A11" s="143">
        <v>7</v>
      </c>
      <c r="B11" s="144" t="s">
        <v>302</v>
      </c>
      <c r="C11" s="942">
        <v>0</v>
      </c>
      <c r="D11" s="148"/>
      <c r="E11" s="942">
        <f>+'[2]Ба Вазир 31-12-22 '!K10</f>
        <v>0</v>
      </c>
      <c r="F11" s="943">
        <f>C11-E11</f>
        <v>0</v>
      </c>
    </row>
    <row r="12" spans="1:8" ht="54.75" thickBot="1" x14ac:dyDescent="0.25">
      <c r="A12" s="110">
        <v>8</v>
      </c>
      <c r="B12" s="149" t="s">
        <v>38</v>
      </c>
      <c r="C12" s="942">
        <v>200000</v>
      </c>
      <c r="D12" s="945" t="s">
        <v>40</v>
      </c>
      <c r="E12" s="942">
        <f>+'[2]Ба Вазир 31-12-22 '!K11</f>
        <v>200000</v>
      </c>
      <c r="F12" s="944">
        <f>C12-E12</f>
        <v>0</v>
      </c>
    </row>
    <row r="13" spans="1:8" ht="72.75" thickBot="1" x14ac:dyDescent="0.25">
      <c r="A13" s="143">
        <v>9</v>
      </c>
      <c r="B13" s="144" t="s">
        <v>303</v>
      </c>
      <c r="C13" s="942">
        <v>10000</v>
      </c>
      <c r="D13" s="145" t="s">
        <v>304</v>
      </c>
      <c r="E13" s="942">
        <f>+'[2]Ба Вазир 31-12-22 '!K12</f>
        <v>10000</v>
      </c>
      <c r="F13" s="943">
        <f t="shared" si="0"/>
        <v>0</v>
      </c>
    </row>
    <row r="14" spans="1:8" ht="54.75" thickBot="1" x14ac:dyDescent="0.25">
      <c r="A14" s="110">
        <v>10</v>
      </c>
      <c r="B14" s="946" t="s">
        <v>9</v>
      </c>
      <c r="C14" s="942">
        <v>49875.199999999997</v>
      </c>
      <c r="D14" s="126" t="s">
        <v>11</v>
      </c>
      <c r="E14" s="942">
        <f>+'[2]Ба Вазир 31-12-22 '!K13</f>
        <v>99750.374689999997</v>
      </c>
      <c r="F14" s="947">
        <f t="shared" si="0"/>
        <v>-49875.17469</v>
      </c>
    </row>
    <row r="15" spans="1:8" ht="36.75" thickBot="1" x14ac:dyDescent="0.25">
      <c r="A15" s="143">
        <v>11</v>
      </c>
      <c r="B15" s="144" t="s">
        <v>56</v>
      </c>
      <c r="C15" s="942">
        <v>953000</v>
      </c>
      <c r="D15" s="125" t="s">
        <v>41</v>
      </c>
      <c r="E15" s="942">
        <f>+'[2]Ба Вазир 31-12-22 '!K14</f>
        <v>847000</v>
      </c>
      <c r="F15" s="943">
        <f t="shared" si="0"/>
        <v>106000</v>
      </c>
      <c r="H15" s="115"/>
    </row>
    <row r="16" spans="1:8" ht="18.75" thickBot="1" x14ac:dyDescent="0.25">
      <c r="A16" s="1219" t="s">
        <v>61</v>
      </c>
      <c r="B16" s="1220"/>
      <c r="C16" s="948">
        <f>SUM(C5:C15)</f>
        <v>5518110.1907800008</v>
      </c>
      <c r="D16" s="949">
        <f>SUM(D8:D14)</f>
        <v>0</v>
      </c>
      <c r="E16" s="950">
        <f>SUM(E5:E15)</f>
        <v>4683750.0751799997</v>
      </c>
      <c r="F16" s="950">
        <f>C16-E16</f>
        <v>834360.11560000107</v>
      </c>
    </row>
    <row r="17" spans="1:6" x14ac:dyDescent="0.2">
      <c r="A17" s="951"/>
      <c r="B17" s="557"/>
      <c r="F17" s="952"/>
    </row>
    <row r="18" spans="1:6" ht="18" x14ac:dyDescent="0.2">
      <c r="A18" s="1297" t="s">
        <v>62</v>
      </c>
      <c r="B18" s="1298"/>
      <c r="C18" s="965">
        <v>45291</v>
      </c>
      <c r="D18" s="1299">
        <v>45657</v>
      </c>
      <c r="E18" s="1300"/>
      <c r="F18" s="966" t="s">
        <v>63</v>
      </c>
    </row>
    <row r="19" spans="1:6" ht="18" x14ac:dyDescent="0.2">
      <c r="A19" s="1301" t="s">
        <v>42</v>
      </c>
      <c r="B19" s="1302"/>
      <c r="C19" s="967">
        <v>130791.5</v>
      </c>
      <c r="D19" s="1303">
        <f>+'[2]Ба Вазир 31-12-22 '!G18</f>
        <v>115739.4</v>
      </c>
      <c r="E19" s="1304"/>
      <c r="F19" s="953">
        <f>+D19-C19</f>
        <v>-15052.100000000006</v>
      </c>
    </row>
    <row r="20" spans="1:6" ht="18" x14ac:dyDescent="0.2">
      <c r="A20" s="1223" t="s">
        <v>43</v>
      </c>
      <c r="B20" s="1224"/>
      <c r="C20" s="954">
        <v>7996.88</v>
      </c>
      <c r="D20" s="1291">
        <f>+D19/D22</f>
        <v>11344.330745706891</v>
      </c>
      <c r="E20" s="1292"/>
      <c r="F20" s="953">
        <f>D20-C20</f>
        <v>3347.4507457068912</v>
      </c>
    </row>
    <row r="21" spans="1:6" s="16" customFormat="1" ht="18" x14ac:dyDescent="0.25">
      <c r="A21" s="1225" t="s">
        <v>44</v>
      </c>
      <c r="B21" s="1226"/>
      <c r="C21" s="955">
        <f>C16/C19/1000</f>
        <v>4.2190128492906653E-2</v>
      </c>
      <c r="D21" s="1305">
        <f>+E16/D19/1000</f>
        <v>4.0468069431671493E-2</v>
      </c>
      <c r="E21" s="1305"/>
      <c r="F21" s="956">
        <f>+D21-C21</f>
        <v>-1.7220590612351608E-3</v>
      </c>
    </row>
    <row r="22" spans="1:6" ht="18" x14ac:dyDescent="0.2">
      <c r="A22" s="1203" t="s">
        <v>60</v>
      </c>
      <c r="B22" s="1204"/>
      <c r="C22" s="957">
        <v>10.321899999999999</v>
      </c>
      <c r="D22" s="1306">
        <f>'[2]Ба Вазир 31-12-22 '!H20</f>
        <v>10.202400000000001</v>
      </c>
      <c r="E22" s="1306"/>
      <c r="F22" s="124">
        <f>+D22-C22</f>
        <v>-0.11949999999999861</v>
      </c>
    </row>
    <row r="23" spans="1:6" ht="18.75" thickBot="1" x14ac:dyDescent="0.25">
      <c r="A23" s="120" t="s">
        <v>64</v>
      </c>
      <c r="B23" s="121"/>
      <c r="C23" s="958">
        <f>C16/C22</f>
        <v>534602.17506273079</v>
      </c>
      <c r="D23" s="1307">
        <f>+E16/D22</f>
        <v>459083.16427311214</v>
      </c>
      <c r="E23" s="1307"/>
      <c r="F23" s="959">
        <f>+D23-C23</f>
        <v>-75519.010789618653</v>
      </c>
    </row>
    <row r="26" spans="1:6" ht="20.25" x14ac:dyDescent="0.2">
      <c r="B26" s="960" t="s">
        <v>32</v>
      </c>
      <c r="C26" s="960"/>
      <c r="D26" s="961"/>
      <c r="E26" s="962">
        <f>+E16/103984/1000</f>
        <v>4.5042988105670097E-2</v>
      </c>
    </row>
    <row r="27" spans="1:6" ht="18" x14ac:dyDescent="0.2">
      <c r="B27" s="17" t="s">
        <v>32</v>
      </c>
      <c r="C27" s="17"/>
      <c r="D27" s="128"/>
      <c r="E27" s="17"/>
    </row>
    <row r="28" spans="1:6" ht="18" x14ac:dyDescent="0.2">
      <c r="B28" s="17"/>
      <c r="D28" s="128"/>
      <c r="E28" s="964">
        <f>5434403000/D22</f>
        <v>532659276.24872577</v>
      </c>
    </row>
    <row r="29" spans="1:6" ht="18" x14ac:dyDescent="0.2">
      <c r="B29" s="17"/>
      <c r="D29" s="128"/>
    </row>
    <row r="30" spans="1:6" ht="18" x14ac:dyDescent="0.2">
      <c r="B30" s="17"/>
      <c r="D30" s="128"/>
    </row>
    <row r="31" spans="1:6" ht="18" x14ac:dyDescent="0.2">
      <c r="B31" s="17"/>
      <c r="D31" s="128"/>
    </row>
    <row r="33" spans="2:5" ht="18" x14ac:dyDescent="0.2">
      <c r="B33" s="18"/>
      <c r="C33" s="18"/>
      <c r="D33" s="128"/>
      <c r="E33" s="18"/>
    </row>
  </sheetData>
  <mergeCells count="20">
    <mergeCell ref="A21:B21"/>
    <mergeCell ref="D21:E21"/>
    <mergeCell ref="A22:B22"/>
    <mergeCell ref="D22:E22"/>
    <mergeCell ref="D23:E23"/>
    <mergeCell ref="A20:B20"/>
    <mergeCell ref="D20:E20"/>
    <mergeCell ref="A1:F1"/>
    <mergeCell ref="A2:F2"/>
    <mergeCell ref="A3:A4"/>
    <mergeCell ref="B3:B4"/>
    <mergeCell ref="C3:C4"/>
    <mergeCell ref="D3:D4"/>
    <mergeCell ref="E3:E4"/>
    <mergeCell ref="F3:F4"/>
    <mergeCell ref="A16:B16"/>
    <mergeCell ref="A18:B18"/>
    <mergeCell ref="D18:E18"/>
    <mergeCell ref="A19:B19"/>
    <mergeCell ref="D19:E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6">
    <tabColor rgb="FFFF0000"/>
  </sheetPr>
  <dimension ref="A1:O95"/>
  <sheetViews>
    <sheetView view="pageBreakPreview" zoomScale="115" zoomScaleNormal="115" zoomScaleSheetLayoutView="115" zoomScalePageLayoutView="60" workbookViewId="0">
      <selection activeCell="J10" sqref="J10:K10"/>
    </sheetView>
  </sheetViews>
  <sheetFormatPr defaultRowHeight="14.25" x14ac:dyDescent="0.2"/>
  <cols>
    <col min="1" max="1" width="4" style="557" customWidth="1"/>
    <col min="2" max="2" width="28.28515625" style="3" customWidth="1"/>
    <col min="3" max="3" width="21.42578125" style="557" customWidth="1"/>
    <col min="4" max="4" width="22.42578125" style="557" customWidth="1"/>
    <col min="5" max="5" width="12.28515625" style="557" hidden="1" customWidth="1"/>
    <col min="6" max="6" width="10.5703125" style="557" customWidth="1"/>
    <col min="7" max="7" width="5.7109375" style="557" customWidth="1"/>
    <col min="8" max="8" width="23.28515625" style="557" customWidth="1"/>
    <col min="9" max="9" width="22.140625" style="557" hidden="1" customWidth="1"/>
    <col min="10" max="10" width="21.85546875" style="557" customWidth="1"/>
    <col min="11" max="11" width="20.28515625" style="557" customWidth="1"/>
    <col min="12" max="12" width="24" style="557" customWidth="1"/>
    <col min="13" max="13" width="0.7109375" style="557" hidden="1" customWidth="1"/>
    <col min="14" max="14" width="18.28515625" style="557" customWidth="1"/>
    <col min="15" max="15" width="21.5703125" style="557" customWidth="1"/>
    <col min="16" max="16384" width="9.140625" style="557"/>
  </cols>
  <sheetData>
    <row r="1" spans="1:15" ht="73.5" customHeight="1" x14ac:dyDescent="0.2">
      <c r="A1" s="1198" t="s">
        <v>288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</row>
    <row r="2" spans="1:15" ht="16.5" thickBot="1" x14ac:dyDescent="0.25">
      <c r="A2" s="1144" t="s">
        <v>232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  <c r="M2" s="1144"/>
    </row>
    <row r="3" spans="1:15" ht="49.5" customHeight="1" thickBot="1" x14ac:dyDescent="0.25">
      <c r="A3" s="635" t="s">
        <v>15</v>
      </c>
      <c r="B3" s="580" t="s">
        <v>0</v>
      </c>
      <c r="C3" s="581" t="s">
        <v>1</v>
      </c>
      <c r="D3" s="581" t="s">
        <v>2</v>
      </c>
      <c r="E3" s="581" t="s">
        <v>3</v>
      </c>
      <c r="F3" s="1199" t="s">
        <v>18</v>
      </c>
      <c r="G3" s="1200"/>
      <c r="H3" s="581" t="s">
        <v>199</v>
      </c>
      <c r="I3" s="581" t="s">
        <v>203</v>
      </c>
      <c r="J3" s="581" t="s">
        <v>99</v>
      </c>
      <c r="K3" s="581" t="s">
        <v>147</v>
      </c>
      <c r="L3" s="636" t="s">
        <v>289</v>
      </c>
      <c r="M3" s="646" t="s">
        <v>208</v>
      </c>
    </row>
    <row r="4" spans="1:15" ht="63" x14ac:dyDescent="0.2">
      <c r="A4" s="678">
        <v>1</v>
      </c>
      <c r="B4" s="582" t="s">
        <v>5</v>
      </c>
      <c r="C4" s="719" t="s">
        <v>127</v>
      </c>
      <c r="D4" s="778">
        <v>500</v>
      </c>
      <c r="E4" s="719">
        <v>2012</v>
      </c>
      <c r="F4" s="1242" t="s">
        <v>7</v>
      </c>
      <c r="G4" s="1242"/>
      <c r="H4" s="778">
        <v>477.02792060000002</v>
      </c>
      <c r="I4" s="754">
        <v>426.90502931575099</v>
      </c>
      <c r="J4" s="778">
        <v>13.08</v>
      </c>
      <c r="K4" s="923">
        <v>0</v>
      </c>
      <c r="L4" s="880">
        <f>+H4-J4</f>
        <v>463.94792060000003</v>
      </c>
      <c r="M4" s="637">
        <v>445877.72473634098</v>
      </c>
    </row>
    <row r="5" spans="1:15" ht="47.25" x14ac:dyDescent="0.2">
      <c r="A5" s="235">
        <v>2</v>
      </c>
      <c r="B5" s="236" t="s">
        <v>125</v>
      </c>
      <c r="C5" s="237" t="s">
        <v>137</v>
      </c>
      <c r="D5" s="779">
        <v>2250</v>
      </c>
      <c r="E5" s="237">
        <v>2016</v>
      </c>
      <c r="F5" s="1308">
        <v>0.02</v>
      </c>
      <c r="G5" s="1308"/>
      <c r="H5" s="779">
        <v>2012.9619251399999</v>
      </c>
      <c r="I5" s="756">
        <v>148.25591235409999</v>
      </c>
      <c r="J5" s="876">
        <v>196.87807409000001</v>
      </c>
      <c r="K5" s="878">
        <v>36.587139049999998</v>
      </c>
      <c r="L5" s="881">
        <f t="shared" ref="L5:L8" si="0">+H5-J5</f>
        <v>1816.08385105</v>
      </c>
      <c r="M5" s="638">
        <v>147859.23176954401</v>
      </c>
      <c r="O5" s="153"/>
    </row>
    <row r="6" spans="1:15" ht="47.25" x14ac:dyDescent="0.2">
      <c r="A6" s="235">
        <v>3</v>
      </c>
      <c r="B6" s="236" t="s">
        <v>126</v>
      </c>
      <c r="C6" s="237" t="s">
        <v>137</v>
      </c>
      <c r="D6" s="779">
        <v>1070</v>
      </c>
      <c r="E6" s="237">
        <v>2016</v>
      </c>
      <c r="F6" s="1308">
        <v>0.02</v>
      </c>
      <c r="G6" s="1308"/>
      <c r="H6" s="779">
        <v>822.54031874999998</v>
      </c>
      <c r="I6" s="756">
        <v>115.775788588759</v>
      </c>
      <c r="J6" s="876">
        <v>125.50081308</v>
      </c>
      <c r="K6" s="878">
        <v>24.06057607</v>
      </c>
      <c r="L6" s="881">
        <f t="shared" si="0"/>
        <v>697.03950566999993</v>
      </c>
      <c r="M6" s="638">
        <v>116209.70660603201</v>
      </c>
      <c r="O6" s="153"/>
    </row>
    <row r="7" spans="1:15" ht="47.25" x14ac:dyDescent="0.2">
      <c r="A7" s="235">
        <v>4</v>
      </c>
      <c r="B7" s="236" t="s">
        <v>19</v>
      </c>
      <c r="C7" s="237" t="s">
        <v>138</v>
      </c>
      <c r="D7" s="779">
        <v>200</v>
      </c>
      <c r="E7" s="237">
        <v>2012</v>
      </c>
      <c r="F7" s="1309" t="s">
        <v>12</v>
      </c>
      <c r="G7" s="1309"/>
      <c r="H7" s="780">
        <v>200</v>
      </c>
      <c r="I7" s="758" t="s">
        <v>258</v>
      </c>
      <c r="J7" s="758">
        <v>0</v>
      </c>
      <c r="K7" s="758">
        <v>0</v>
      </c>
      <c r="L7" s="882">
        <f t="shared" si="0"/>
        <v>200</v>
      </c>
      <c r="M7" s="639">
        <f t="shared" ref="M7:M8" si="1">+I7-K7</f>
        <v>0</v>
      </c>
    </row>
    <row r="8" spans="1:15" ht="48" thickBot="1" x14ac:dyDescent="0.25">
      <c r="A8" s="559">
        <v>5</v>
      </c>
      <c r="B8" s="679" t="s">
        <v>170</v>
      </c>
      <c r="C8" s="680" t="s">
        <v>14</v>
      </c>
      <c r="D8" s="782">
        <v>1165</v>
      </c>
      <c r="E8" s="682">
        <v>2019</v>
      </c>
      <c r="F8" s="1315">
        <v>0.02</v>
      </c>
      <c r="G8" s="1315"/>
      <c r="H8" s="781">
        <v>741</v>
      </c>
      <c r="I8" s="758">
        <v>0</v>
      </c>
      <c r="J8" s="877">
        <v>110.1</v>
      </c>
      <c r="K8" s="879">
        <v>14.17359639</v>
      </c>
      <c r="L8" s="883">
        <f t="shared" si="0"/>
        <v>630.9</v>
      </c>
      <c r="M8" s="640">
        <f t="shared" si="1"/>
        <v>-14.17359639</v>
      </c>
      <c r="N8" s="153"/>
    </row>
    <row r="9" spans="1:15" ht="36" customHeight="1" thickBot="1" x14ac:dyDescent="0.25">
      <c r="A9" s="1310" t="s">
        <v>23</v>
      </c>
      <c r="B9" s="1311"/>
      <c r="C9" s="1311"/>
      <c r="D9" s="783">
        <f>+SUM(D4:D8)</f>
        <v>5185</v>
      </c>
      <c r="E9" s="930"/>
      <c r="F9" s="931"/>
      <c r="G9" s="932"/>
      <c r="H9" s="783">
        <f t="shared" ref="H9:M9" si="2">+SUM(H4:H8)</f>
        <v>4253.5301644900001</v>
      </c>
      <c r="I9" s="783">
        <f t="shared" si="2"/>
        <v>690.93673025861005</v>
      </c>
      <c r="J9" s="783">
        <f>+SUM(J4:J8)</f>
        <v>445.55888717000005</v>
      </c>
      <c r="K9" s="783">
        <f>+SUM(K4:K8)</f>
        <v>74.821311510000001</v>
      </c>
      <c r="L9" s="874">
        <f t="shared" si="2"/>
        <v>3807.9712773199999</v>
      </c>
      <c r="M9" s="641">
        <f t="shared" si="2"/>
        <v>709932.48951552692</v>
      </c>
      <c r="N9" s="864">
        <v>3808</v>
      </c>
    </row>
    <row r="10" spans="1:15" ht="36" customHeight="1" thickBot="1" x14ac:dyDescent="0.25">
      <c r="D10" s="153"/>
      <c r="J10" s="1312">
        <f>+J9+K9</f>
        <v>520.38019868000003</v>
      </c>
      <c r="K10" s="1313"/>
      <c r="L10" s="865"/>
      <c r="N10" s="867">
        <f>+N9-L9</f>
        <v>2.8722680000100809E-2</v>
      </c>
    </row>
    <row r="11" spans="1:15" ht="29.25" customHeight="1" x14ac:dyDescent="0.2">
      <c r="B11" s="912"/>
      <c r="C11" s="911"/>
      <c r="D11" s="653"/>
    </row>
    <row r="12" spans="1:15" ht="79.5" customHeight="1" x14ac:dyDescent="0.2">
      <c r="A12" s="1198" t="s">
        <v>230</v>
      </c>
      <c r="B12" s="1198"/>
      <c r="C12" s="1198"/>
      <c r="D12" s="1198"/>
      <c r="E12" s="1198"/>
      <c r="F12" s="1198"/>
      <c r="G12" s="1198"/>
      <c r="H12" s="1198"/>
      <c r="I12" s="1198"/>
      <c r="J12" s="1198"/>
      <c r="K12" s="1198"/>
      <c r="L12" s="1198"/>
      <c r="M12" s="1198"/>
      <c r="N12" s="1198"/>
    </row>
    <row r="13" spans="1:15" ht="16.5" customHeight="1" thickBot="1" x14ac:dyDescent="0.25">
      <c r="A13" s="1314" t="s">
        <v>91</v>
      </c>
      <c r="B13" s="1314"/>
      <c r="C13" s="1314"/>
      <c r="D13" s="1314"/>
      <c r="E13" s="1314"/>
      <c r="F13" s="1314"/>
      <c r="G13" s="1314"/>
      <c r="H13" s="1314"/>
      <c r="I13" s="1314"/>
      <c r="J13" s="1314"/>
      <c r="K13" s="1314"/>
      <c r="L13" s="1314"/>
      <c r="M13" s="1314"/>
      <c r="N13" s="1314"/>
    </row>
    <row r="14" spans="1:15" ht="51" customHeight="1" thickBot="1" x14ac:dyDescent="0.25">
      <c r="A14" s="635" t="s">
        <v>15</v>
      </c>
      <c r="B14" s="580" t="s">
        <v>0</v>
      </c>
      <c r="C14" s="581" t="s">
        <v>1</v>
      </c>
      <c r="D14" s="581" t="s">
        <v>2</v>
      </c>
      <c r="E14" s="581" t="s">
        <v>3</v>
      </c>
      <c r="F14" s="1199" t="s">
        <v>18</v>
      </c>
      <c r="G14" s="1200"/>
      <c r="H14" s="581" t="s">
        <v>199</v>
      </c>
      <c r="I14" s="581" t="s">
        <v>203</v>
      </c>
      <c r="J14" s="581" t="s">
        <v>99</v>
      </c>
      <c r="K14" s="581" t="s">
        <v>147</v>
      </c>
      <c r="L14" s="765" t="s">
        <v>228</v>
      </c>
      <c r="M14" s="646" t="s">
        <v>208</v>
      </c>
      <c r="N14" s="866" t="s">
        <v>281</v>
      </c>
    </row>
    <row r="15" spans="1:15" ht="68.25" customHeight="1" x14ac:dyDescent="0.2">
      <c r="A15" s="678">
        <v>1</v>
      </c>
      <c r="B15" s="582" t="s">
        <v>5</v>
      </c>
      <c r="C15" s="708" t="s">
        <v>127</v>
      </c>
      <c r="D15" s="584">
        <f>500000000/1000</f>
        <v>500000</v>
      </c>
      <c r="E15" s="708">
        <v>2012</v>
      </c>
      <c r="F15" s="1242" t="s">
        <v>7</v>
      </c>
      <c r="G15" s="1242"/>
      <c r="H15" s="889">
        <v>477027.92060000001</v>
      </c>
      <c r="I15" s="889">
        <v>426905.02931575099</v>
      </c>
      <c r="J15" s="890">
        <v>12000</v>
      </c>
      <c r="K15" s="889">
        <v>0</v>
      </c>
      <c r="L15" s="889">
        <f>+H15-J15</f>
        <v>465027.92060000001</v>
      </c>
      <c r="M15" s="891">
        <v>445877.72473634098</v>
      </c>
      <c r="N15" s="892">
        <v>455386.48292108398</v>
      </c>
    </row>
    <row r="16" spans="1:15" ht="55.5" customHeight="1" x14ac:dyDescent="0.2">
      <c r="A16" s="235">
        <v>2</v>
      </c>
      <c r="B16" s="236" t="s">
        <v>125</v>
      </c>
      <c r="C16" s="237" t="s">
        <v>137</v>
      </c>
      <c r="D16" s="129">
        <v>2250000</v>
      </c>
      <c r="E16" s="237">
        <v>2016</v>
      </c>
      <c r="F16" s="1308">
        <v>0.02</v>
      </c>
      <c r="G16" s="1308"/>
      <c r="H16" s="893">
        <v>2012961.9251400002</v>
      </c>
      <c r="I16" s="893">
        <v>148255.9123541</v>
      </c>
      <c r="J16" s="894">
        <v>161051.3296</v>
      </c>
      <c r="K16" s="895">
        <v>28171.391589999999</v>
      </c>
      <c r="L16" s="896">
        <f t="shared" ref="L16:L19" si="3">+H16-J16</f>
        <v>1851910.5955400001</v>
      </c>
      <c r="M16" s="897">
        <v>147859.23176954401</v>
      </c>
      <c r="N16" s="898">
        <v>149330.84889579299</v>
      </c>
      <c r="O16" s="153"/>
    </row>
    <row r="17" spans="1:14" ht="56.25" customHeight="1" x14ac:dyDescent="0.2">
      <c r="A17" s="235">
        <v>3</v>
      </c>
      <c r="B17" s="236" t="s">
        <v>126</v>
      </c>
      <c r="C17" s="237" t="s">
        <v>137</v>
      </c>
      <c r="D17" s="129">
        <v>1070000</v>
      </c>
      <c r="E17" s="237">
        <v>2016</v>
      </c>
      <c r="F17" s="1308">
        <v>0.02</v>
      </c>
      <c r="G17" s="1308"/>
      <c r="H17" s="893">
        <v>822540.31874999998</v>
      </c>
      <c r="I17" s="893">
        <v>115775.78858875899</v>
      </c>
      <c r="J17" s="894">
        <v>79290.860589999997</v>
      </c>
      <c r="K17" s="895">
        <v>15644.828590000001</v>
      </c>
      <c r="L17" s="896">
        <f t="shared" si="3"/>
        <v>743249.45815999992</v>
      </c>
      <c r="M17" s="897">
        <v>116209.70660603201</v>
      </c>
      <c r="N17" s="898">
        <v>112732.400188033</v>
      </c>
    </row>
    <row r="18" spans="1:14" ht="52.5" customHeight="1" x14ac:dyDescent="0.2">
      <c r="A18" s="235">
        <v>4</v>
      </c>
      <c r="B18" s="236" t="s">
        <v>19</v>
      </c>
      <c r="C18" s="237" t="s">
        <v>138</v>
      </c>
      <c r="D18" s="129">
        <f>200000000/1000</f>
        <v>200000</v>
      </c>
      <c r="E18" s="237">
        <v>2012</v>
      </c>
      <c r="F18" s="1309" t="s">
        <v>12</v>
      </c>
      <c r="G18" s="1309"/>
      <c r="H18" s="899">
        <v>200000</v>
      </c>
      <c r="I18" s="893">
        <v>0</v>
      </c>
      <c r="J18" s="893">
        <v>0</v>
      </c>
      <c r="K18" s="893">
        <v>0</v>
      </c>
      <c r="L18" s="893">
        <f t="shared" si="3"/>
        <v>200000</v>
      </c>
      <c r="M18" s="900">
        <f t="shared" ref="M18:M19" si="4">+I18-K18</f>
        <v>0</v>
      </c>
      <c r="N18" s="901">
        <v>0</v>
      </c>
    </row>
    <row r="19" spans="1:14" ht="54.75" customHeight="1" thickBot="1" x14ac:dyDescent="0.25">
      <c r="A19" s="559">
        <v>5</v>
      </c>
      <c r="B19" s="679" t="s">
        <v>170</v>
      </c>
      <c r="C19" s="680" t="s">
        <v>14</v>
      </c>
      <c r="D19" s="681">
        <v>1165000</v>
      </c>
      <c r="E19" s="682">
        <v>2019</v>
      </c>
      <c r="F19" s="1315">
        <v>0.02</v>
      </c>
      <c r="G19" s="1315"/>
      <c r="H19" s="902">
        <v>741000</v>
      </c>
      <c r="I19" s="903">
        <v>168.42972</v>
      </c>
      <c r="J19" s="904">
        <f>35000+36000</f>
        <v>71000</v>
      </c>
      <c r="K19" s="905">
        <v>168.42972</v>
      </c>
      <c r="L19" s="903">
        <f t="shared" si="3"/>
        <v>670000</v>
      </c>
      <c r="M19" s="906">
        <f t="shared" si="4"/>
        <v>0</v>
      </c>
      <c r="N19" s="907">
        <v>14006.833333333299</v>
      </c>
    </row>
    <row r="20" spans="1:14" ht="39" customHeight="1" thickBot="1" x14ac:dyDescent="0.25">
      <c r="A20" s="1316" t="s">
        <v>23</v>
      </c>
      <c r="B20" s="1317"/>
      <c r="C20" s="1317"/>
      <c r="D20" s="761">
        <f>+SUM(D15:D19)</f>
        <v>5185000</v>
      </c>
      <c r="E20" s="762"/>
      <c r="F20" s="763"/>
      <c r="G20" s="764"/>
      <c r="H20" s="908">
        <f t="shared" ref="H20:M20" si="5">+SUM(H15:H19)</f>
        <v>4253530.1644900003</v>
      </c>
      <c r="I20" s="908">
        <f t="shared" si="5"/>
        <v>691105.15997861</v>
      </c>
      <c r="J20" s="908">
        <f t="shared" si="5"/>
        <v>323342.19018999999</v>
      </c>
      <c r="K20" s="908">
        <f t="shared" si="5"/>
        <v>43984.649900000004</v>
      </c>
      <c r="L20" s="909">
        <f t="shared" si="5"/>
        <v>3930187.9742999999</v>
      </c>
      <c r="M20" s="910">
        <f t="shared" si="5"/>
        <v>709946.66311191698</v>
      </c>
      <c r="N20" s="909">
        <f t="shared" ref="N20" si="6">+SUM(N15:N19)</f>
        <v>731456.56533824326</v>
      </c>
    </row>
    <row r="22" spans="1:14" hidden="1" x14ac:dyDescent="0.2"/>
    <row r="23" spans="1:14" hidden="1" x14ac:dyDescent="0.2"/>
    <row r="24" spans="1:14" hidden="1" x14ac:dyDescent="0.2"/>
    <row r="25" spans="1:14" hidden="1" x14ac:dyDescent="0.2"/>
    <row r="26" spans="1:14" hidden="1" x14ac:dyDescent="0.2"/>
    <row r="27" spans="1:14" hidden="1" x14ac:dyDescent="0.2"/>
    <row r="28" spans="1:14" hidden="1" x14ac:dyDescent="0.2"/>
    <row r="29" spans="1:14" hidden="1" x14ac:dyDescent="0.2"/>
    <row r="30" spans="1:14" hidden="1" x14ac:dyDescent="0.2"/>
    <row r="31" spans="1:14" hidden="1" x14ac:dyDescent="0.2"/>
    <row r="32" spans="1:14" hidden="1" x14ac:dyDescent="0.2"/>
    <row r="33" spans="1:13" hidden="1" x14ac:dyDescent="0.2"/>
    <row r="34" spans="1:13" hidden="1" x14ac:dyDescent="0.2"/>
    <row r="35" spans="1:13" hidden="1" x14ac:dyDescent="0.2"/>
    <row r="36" spans="1:13" hidden="1" x14ac:dyDescent="0.2"/>
    <row r="37" spans="1:13" hidden="1" x14ac:dyDescent="0.2"/>
    <row r="38" spans="1:13" hidden="1" x14ac:dyDescent="0.2"/>
    <row r="39" spans="1:13" hidden="1" x14ac:dyDescent="0.2"/>
    <row r="40" spans="1:13" hidden="1" x14ac:dyDescent="0.2"/>
    <row r="41" spans="1:13" ht="65.25" customHeight="1" x14ac:dyDescent="0.2">
      <c r="A41" s="1198" t="s">
        <v>216</v>
      </c>
      <c r="B41" s="1198"/>
      <c r="C41" s="1198"/>
      <c r="D41" s="1198"/>
      <c r="E41" s="1198"/>
      <c r="F41" s="1198"/>
      <c r="G41" s="1198"/>
      <c r="H41" s="1198"/>
      <c r="I41" s="1198"/>
      <c r="J41" s="1198"/>
      <c r="K41" s="1198"/>
      <c r="L41" s="1198"/>
      <c r="M41" s="1198"/>
    </row>
    <row r="42" spans="1:13" ht="21.75" customHeight="1" thickBot="1" x14ac:dyDescent="0.25">
      <c r="A42" s="1144" t="s">
        <v>91</v>
      </c>
      <c r="B42" s="1144"/>
      <c r="C42" s="1144"/>
      <c r="D42" s="1144"/>
      <c r="E42" s="1144"/>
      <c r="F42" s="1144"/>
      <c r="G42" s="1144"/>
      <c r="H42" s="1144"/>
      <c r="I42" s="1144"/>
      <c r="J42" s="1144"/>
      <c r="K42" s="1144"/>
      <c r="L42" s="1144"/>
      <c r="M42" s="1144"/>
    </row>
    <row r="43" spans="1:13" s="409" customFormat="1" ht="48.75" customHeight="1" thickBot="1" x14ac:dyDescent="0.3">
      <c r="A43" s="635" t="s">
        <v>15</v>
      </c>
      <c r="B43" s="580" t="s">
        <v>0</v>
      </c>
      <c r="C43" s="581" t="s">
        <v>1</v>
      </c>
      <c r="D43" s="581" t="s">
        <v>2</v>
      </c>
      <c r="E43" s="581" t="s">
        <v>3</v>
      </c>
      <c r="F43" s="1199" t="s">
        <v>18</v>
      </c>
      <c r="G43" s="1200"/>
      <c r="H43" s="581" t="s">
        <v>199</v>
      </c>
      <c r="I43" s="581" t="s">
        <v>203</v>
      </c>
      <c r="J43" s="581" t="s">
        <v>99</v>
      </c>
      <c r="K43" s="581" t="s">
        <v>147</v>
      </c>
      <c r="L43" s="636" t="s">
        <v>200</v>
      </c>
      <c r="M43" s="646" t="s">
        <v>208</v>
      </c>
    </row>
    <row r="44" spans="1:13" ht="65.25" customHeight="1" x14ac:dyDescent="0.2">
      <c r="A44" s="678">
        <v>1</v>
      </c>
      <c r="B44" s="582" t="s">
        <v>5</v>
      </c>
      <c r="C44" s="583" t="s">
        <v>127</v>
      </c>
      <c r="D44" s="584">
        <f>500000000/1000</f>
        <v>500000</v>
      </c>
      <c r="E44" s="583">
        <v>2012</v>
      </c>
      <c r="F44" s="1242" t="s">
        <v>7</v>
      </c>
      <c r="G44" s="1242"/>
      <c r="H44" s="676">
        <v>477027.92060000001</v>
      </c>
      <c r="I44" s="676">
        <v>426905.02931575099</v>
      </c>
      <c r="J44" s="677">
        <v>1000</v>
      </c>
      <c r="K44" s="587">
        <v>0</v>
      </c>
      <c r="L44" s="648">
        <f>+H44-J44</f>
        <v>476027.92060000001</v>
      </c>
      <c r="M44" s="637">
        <v>445877.72473634098</v>
      </c>
    </row>
    <row r="45" spans="1:13" ht="66.75" customHeight="1" x14ac:dyDescent="0.2">
      <c r="A45" s="235">
        <v>2</v>
      </c>
      <c r="B45" s="236" t="s">
        <v>125</v>
      </c>
      <c r="C45" s="237" t="s">
        <v>137</v>
      </c>
      <c r="D45" s="129">
        <v>2250000</v>
      </c>
      <c r="E45" s="237">
        <v>2016</v>
      </c>
      <c r="F45" s="1308">
        <v>0.02</v>
      </c>
      <c r="G45" s="1308"/>
      <c r="H45" s="413">
        <v>2012961.9251400002</v>
      </c>
      <c r="I45" s="413">
        <v>148255.9123541</v>
      </c>
      <c r="J45" s="674">
        <v>143692.128</v>
      </c>
      <c r="K45" s="650">
        <v>20190.256519999999</v>
      </c>
      <c r="L45" s="643">
        <f t="shared" ref="L45:M48" si="7">+H45-J45</f>
        <v>1869269.7971400002</v>
      </c>
      <c r="M45" s="638">
        <v>147859.23176954401</v>
      </c>
    </row>
    <row r="46" spans="1:13" ht="57.75" customHeight="1" x14ac:dyDescent="0.2">
      <c r="A46" s="235">
        <v>3</v>
      </c>
      <c r="B46" s="236" t="s">
        <v>126</v>
      </c>
      <c r="C46" s="237" t="s">
        <v>137</v>
      </c>
      <c r="D46" s="129">
        <v>1070000</v>
      </c>
      <c r="E46" s="237">
        <v>2016</v>
      </c>
      <c r="F46" s="1308">
        <v>0.02</v>
      </c>
      <c r="G46" s="1308"/>
      <c r="H46" s="413">
        <v>822540.31874999998</v>
      </c>
      <c r="I46" s="413">
        <v>115775.78858875899</v>
      </c>
      <c r="J46" s="675">
        <f>16825.36452+3046.809</f>
        <v>19872.17352</v>
      </c>
      <c r="K46" s="650">
        <v>7663.6935199999998</v>
      </c>
      <c r="L46" s="643">
        <f t="shared" si="7"/>
        <v>802668.14523000002</v>
      </c>
      <c r="M46" s="638">
        <v>116209.70660603201</v>
      </c>
    </row>
    <row r="47" spans="1:13" ht="47.25" x14ac:dyDescent="0.2">
      <c r="A47" s="235">
        <v>4</v>
      </c>
      <c r="B47" s="236" t="s">
        <v>19</v>
      </c>
      <c r="C47" s="237" t="s">
        <v>138</v>
      </c>
      <c r="D47" s="129">
        <f>200000000/1000</f>
        <v>200000</v>
      </c>
      <c r="E47" s="237">
        <v>2012</v>
      </c>
      <c r="F47" s="1309" t="s">
        <v>12</v>
      </c>
      <c r="G47" s="1309"/>
      <c r="H47" s="355">
        <v>200000</v>
      </c>
      <c r="I47" s="323">
        <v>0</v>
      </c>
      <c r="J47" s="323">
        <v>0</v>
      </c>
      <c r="K47" s="323">
        <v>0</v>
      </c>
      <c r="L47" s="644">
        <f t="shared" si="7"/>
        <v>200000</v>
      </c>
      <c r="M47" s="639">
        <f t="shared" si="7"/>
        <v>0</v>
      </c>
    </row>
    <row r="48" spans="1:13" ht="51.75" customHeight="1" thickBot="1" x14ac:dyDescent="0.25">
      <c r="A48" s="559">
        <v>5</v>
      </c>
      <c r="B48" s="679" t="s">
        <v>170</v>
      </c>
      <c r="C48" s="680" t="s">
        <v>14</v>
      </c>
      <c r="D48" s="681">
        <v>1165000</v>
      </c>
      <c r="E48" s="682">
        <v>2019</v>
      </c>
      <c r="F48" s="1315">
        <v>0.02</v>
      </c>
      <c r="G48" s="1315"/>
      <c r="H48" s="683">
        <v>741000</v>
      </c>
      <c r="I48" s="684">
        <v>168.42972</v>
      </c>
      <c r="J48" s="685">
        <f>35000+36000</f>
        <v>71000</v>
      </c>
      <c r="K48" s="686">
        <v>168.42972</v>
      </c>
      <c r="L48" s="687">
        <f t="shared" si="7"/>
        <v>670000</v>
      </c>
      <c r="M48" s="640">
        <f t="shared" si="7"/>
        <v>0</v>
      </c>
    </row>
    <row r="49" spans="1:13" s="409" customFormat="1" ht="30" customHeight="1" thickBot="1" x14ac:dyDescent="0.3">
      <c r="A49" s="1310" t="s">
        <v>23</v>
      </c>
      <c r="B49" s="1311"/>
      <c r="C49" s="1311"/>
      <c r="D49" s="688">
        <f>+SUM(D44:D48)</f>
        <v>5185000</v>
      </c>
      <c r="E49" s="689"/>
      <c r="F49" s="690"/>
      <c r="G49" s="691"/>
      <c r="H49" s="688">
        <f t="shared" ref="H49:M49" si="8">+SUM(H44:H48)</f>
        <v>4253530.1644900003</v>
      </c>
      <c r="I49" s="688">
        <f t="shared" si="8"/>
        <v>691105.15997861</v>
      </c>
      <c r="J49" s="688">
        <f t="shared" si="8"/>
        <v>235564.30152000001</v>
      </c>
      <c r="K49" s="688">
        <f t="shared" si="8"/>
        <v>28022.37976</v>
      </c>
      <c r="L49" s="692">
        <f t="shared" si="8"/>
        <v>4017965.8629700001</v>
      </c>
      <c r="M49" s="641">
        <f t="shared" si="8"/>
        <v>709946.66311191698</v>
      </c>
    </row>
    <row r="50" spans="1:13" ht="28.5" customHeight="1" x14ac:dyDescent="0.2">
      <c r="A50" s="360"/>
      <c r="B50" s="360"/>
      <c r="C50" s="361"/>
      <c r="D50" s="362"/>
      <c r="E50" s="363"/>
      <c r="F50" s="364"/>
      <c r="G50" s="364"/>
      <c r="H50" s="364"/>
      <c r="I50" s="364"/>
      <c r="J50" s="364"/>
      <c r="K50" s="364"/>
      <c r="L50" s="364">
        <v>3808000</v>
      </c>
      <c r="M50" s="364"/>
    </row>
    <row r="51" spans="1:13" s="122" customFormat="1" ht="66" customHeight="1" x14ac:dyDescent="0.25">
      <c r="A51" s="1198" t="s">
        <v>226</v>
      </c>
      <c r="B51" s="1198"/>
      <c r="C51" s="1198"/>
      <c r="D51" s="1198"/>
      <c r="E51" s="1198"/>
      <c r="F51" s="1198"/>
      <c r="G51" s="1198"/>
      <c r="H51" s="1198"/>
      <c r="I51" s="1198"/>
      <c r="J51" s="1198"/>
      <c r="K51" s="1198"/>
      <c r="L51" s="1198"/>
      <c r="M51" s="1198"/>
    </row>
    <row r="52" spans="1:13" ht="21.75" customHeight="1" thickBot="1" x14ac:dyDescent="0.25">
      <c r="A52" s="1144" t="s">
        <v>91</v>
      </c>
      <c r="B52" s="1144"/>
      <c r="C52" s="1144"/>
      <c r="D52" s="1144"/>
      <c r="E52" s="1144"/>
      <c r="F52" s="1144"/>
      <c r="G52" s="1144"/>
      <c r="H52" s="1144"/>
      <c r="I52" s="1144"/>
      <c r="J52" s="1144"/>
      <c r="K52" s="1144"/>
      <c r="L52" s="1144"/>
      <c r="M52" s="1144"/>
    </row>
    <row r="53" spans="1:13" ht="48" thickBot="1" x14ac:dyDescent="0.25">
      <c r="A53" s="635" t="s">
        <v>15</v>
      </c>
      <c r="B53" s="580" t="s">
        <v>0</v>
      </c>
      <c r="C53" s="581" t="s">
        <v>1</v>
      </c>
      <c r="D53" s="581" t="s">
        <v>2</v>
      </c>
      <c r="E53" s="581" t="s">
        <v>3</v>
      </c>
      <c r="F53" s="1199" t="s">
        <v>18</v>
      </c>
      <c r="G53" s="1200"/>
      <c r="H53" s="581" t="s">
        <v>199</v>
      </c>
      <c r="I53" s="581" t="s">
        <v>203</v>
      </c>
      <c r="J53" s="581" t="s">
        <v>99</v>
      </c>
      <c r="K53" s="581" t="s">
        <v>147</v>
      </c>
      <c r="L53" s="636" t="s">
        <v>227</v>
      </c>
    </row>
    <row r="54" spans="1:13" ht="75.75" customHeight="1" x14ac:dyDescent="0.2">
      <c r="A54" s="678">
        <v>1</v>
      </c>
      <c r="B54" s="582" t="s">
        <v>5</v>
      </c>
      <c r="C54" s="583" t="s">
        <v>127</v>
      </c>
      <c r="D54" s="584">
        <f>500000000/1000</f>
        <v>500000</v>
      </c>
      <c r="E54" s="583">
        <v>2012</v>
      </c>
      <c r="F54" s="1242" t="s">
        <v>7</v>
      </c>
      <c r="G54" s="1242"/>
      <c r="H54" s="676">
        <v>477027.92060000001</v>
      </c>
      <c r="I54" s="676">
        <v>426905.02931575099</v>
      </c>
      <c r="J54" s="677">
        <v>1000</v>
      </c>
      <c r="K54" s="587">
        <v>0</v>
      </c>
      <c r="L54" s="648">
        <f>+H54-J54</f>
        <v>476027.92060000001</v>
      </c>
    </row>
    <row r="55" spans="1:13" ht="51" customHeight="1" x14ac:dyDescent="0.2">
      <c r="A55" s="235">
        <v>2</v>
      </c>
      <c r="B55" s="236" t="s">
        <v>125</v>
      </c>
      <c r="C55" s="237" t="s">
        <v>137</v>
      </c>
      <c r="D55" s="129">
        <v>2250000</v>
      </c>
      <c r="E55" s="237">
        <v>2016</v>
      </c>
      <c r="F55" s="1308">
        <v>0.02</v>
      </c>
      <c r="G55" s="1308"/>
      <c r="H55" s="413">
        <v>2012961.9251400002</v>
      </c>
      <c r="I55" s="413">
        <v>148255.9123541</v>
      </c>
      <c r="J55" s="693">
        <f>136692.12753+7000</f>
        <v>143692.12753</v>
      </c>
      <c r="K55" s="650">
        <v>20190.256519999999</v>
      </c>
      <c r="L55" s="643">
        <f t="shared" ref="L55:L58" si="9">+H55-J55</f>
        <v>1869269.7976100002</v>
      </c>
    </row>
    <row r="56" spans="1:13" ht="57" customHeight="1" x14ac:dyDescent="0.2">
      <c r="A56" s="235">
        <v>3</v>
      </c>
      <c r="B56" s="236" t="s">
        <v>126</v>
      </c>
      <c r="C56" s="237" t="s">
        <v>137</v>
      </c>
      <c r="D56" s="129">
        <v>1070000</v>
      </c>
      <c r="E56" s="237">
        <v>2016</v>
      </c>
      <c r="F56" s="1308">
        <v>0.02</v>
      </c>
      <c r="G56" s="1308"/>
      <c r="H56" s="413">
        <v>822540.31874999998</v>
      </c>
      <c r="I56" s="413">
        <v>115775.78858875899</v>
      </c>
      <c r="J56" s="675">
        <f>16825.36452</f>
        <v>16825.364519999999</v>
      </c>
      <c r="K56" s="650">
        <v>7663.6935199999998</v>
      </c>
      <c r="L56" s="643">
        <f t="shared" si="9"/>
        <v>805714.95423000003</v>
      </c>
    </row>
    <row r="57" spans="1:13" ht="54.75" customHeight="1" x14ac:dyDescent="0.2">
      <c r="A57" s="235">
        <v>4</v>
      </c>
      <c r="B57" s="236" t="s">
        <v>19</v>
      </c>
      <c r="C57" s="237" t="s">
        <v>138</v>
      </c>
      <c r="D57" s="129">
        <f>200000000/1000</f>
        <v>200000</v>
      </c>
      <c r="E57" s="237">
        <v>2012</v>
      </c>
      <c r="F57" s="1309" t="s">
        <v>12</v>
      </c>
      <c r="G57" s="1309"/>
      <c r="H57" s="355">
        <v>200000</v>
      </c>
      <c r="I57" s="323">
        <v>0</v>
      </c>
      <c r="J57" s="323">
        <v>0</v>
      </c>
      <c r="K57" s="323">
        <v>0</v>
      </c>
      <c r="L57" s="644">
        <f t="shared" si="9"/>
        <v>200000</v>
      </c>
    </row>
    <row r="58" spans="1:13" ht="48" thickBot="1" x14ac:dyDescent="0.25">
      <c r="A58" s="559">
        <v>5</v>
      </c>
      <c r="B58" s="679" t="s">
        <v>170</v>
      </c>
      <c r="C58" s="680" t="s">
        <v>14</v>
      </c>
      <c r="D58" s="681">
        <v>1165000</v>
      </c>
      <c r="E58" s="682">
        <v>2019</v>
      </c>
      <c r="F58" s="1315">
        <v>0.02</v>
      </c>
      <c r="G58" s="1315"/>
      <c r="H58" s="683">
        <v>741000</v>
      </c>
      <c r="I58" s="684">
        <v>168.42972</v>
      </c>
      <c r="J58" s="685">
        <f>35000+36000</f>
        <v>71000</v>
      </c>
      <c r="K58" s="686">
        <v>168.42972</v>
      </c>
      <c r="L58" s="687">
        <f t="shared" si="9"/>
        <v>670000</v>
      </c>
    </row>
    <row r="59" spans="1:13" ht="21" customHeight="1" thickBot="1" x14ac:dyDescent="0.25">
      <c r="A59" s="1310" t="s">
        <v>23</v>
      </c>
      <c r="B59" s="1311"/>
      <c r="C59" s="1311"/>
      <c r="D59" s="688">
        <f>+SUM(D54:D58)</f>
        <v>5185000</v>
      </c>
      <c r="E59" s="689"/>
      <c r="F59" s="690"/>
      <c r="G59" s="691"/>
      <c r="H59" s="688">
        <f t="shared" ref="H59" si="10">+SUM(H54:H58)</f>
        <v>4253530.1644900003</v>
      </c>
      <c r="I59" s="688">
        <f t="shared" ref="I59" si="11">+SUM(I54:I58)</f>
        <v>691105.15997861</v>
      </c>
      <c r="J59" s="688">
        <f t="shared" ref="J59" si="12">+SUM(J54:J58)</f>
        <v>232517.49205</v>
      </c>
      <c r="K59" s="688">
        <f t="shared" ref="K59" si="13">+SUM(K54:K58)</f>
        <v>28022.37976</v>
      </c>
      <c r="L59" s="692">
        <f t="shared" ref="L59" si="14">+SUM(L54:L58)</f>
        <v>4021012.6724399999</v>
      </c>
    </row>
    <row r="60" spans="1:13" ht="24.75" customHeight="1" x14ac:dyDescent="0.2"/>
    <row r="61" spans="1:13" ht="60.75" customHeight="1" x14ac:dyDescent="0.2">
      <c r="A61" s="1198" t="s">
        <v>211</v>
      </c>
      <c r="B61" s="1198"/>
      <c r="C61" s="1198"/>
      <c r="D61" s="1198"/>
      <c r="E61" s="1198"/>
      <c r="F61" s="1198"/>
      <c r="G61" s="1198"/>
      <c r="H61" s="1198"/>
      <c r="I61" s="1198"/>
      <c r="J61" s="1198"/>
      <c r="K61" s="1198"/>
      <c r="L61" s="1198"/>
      <c r="M61" s="1198"/>
    </row>
    <row r="62" spans="1:13" ht="16.5" thickBot="1" x14ac:dyDescent="0.25">
      <c r="A62" s="1144" t="s">
        <v>91</v>
      </c>
      <c r="B62" s="1144"/>
      <c r="C62" s="1144"/>
      <c r="D62" s="1144"/>
      <c r="E62" s="1144"/>
      <c r="F62" s="1144"/>
      <c r="G62" s="1144"/>
      <c r="H62" s="1144"/>
      <c r="I62" s="1144"/>
      <c r="J62" s="1144"/>
      <c r="K62" s="1144"/>
      <c r="L62" s="1144"/>
      <c r="M62" s="1144"/>
    </row>
    <row r="63" spans="1:13" ht="51" customHeight="1" thickBot="1" x14ac:dyDescent="0.25">
      <c r="A63" s="635" t="s">
        <v>15</v>
      </c>
      <c r="B63" s="580" t="s">
        <v>0</v>
      </c>
      <c r="C63" s="581" t="s">
        <v>1</v>
      </c>
      <c r="D63" s="581" t="s">
        <v>2</v>
      </c>
      <c r="E63" s="581" t="s">
        <v>3</v>
      </c>
      <c r="F63" s="1199" t="s">
        <v>18</v>
      </c>
      <c r="G63" s="1200"/>
      <c r="H63" s="581" t="s">
        <v>199</v>
      </c>
      <c r="I63" s="581" t="s">
        <v>203</v>
      </c>
      <c r="J63" s="581" t="s">
        <v>99</v>
      </c>
      <c r="K63" s="581" t="s">
        <v>147</v>
      </c>
      <c r="L63" s="636" t="s">
        <v>200</v>
      </c>
      <c r="M63" s="579" t="s">
        <v>208</v>
      </c>
    </row>
    <row r="64" spans="1:13" ht="63" x14ac:dyDescent="0.2">
      <c r="A64" s="534">
        <v>1</v>
      </c>
      <c r="B64" s="535" t="s">
        <v>5</v>
      </c>
      <c r="C64" s="536" t="s">
        <v>127</v>
      </c>
      <c r="D64" s="537">
        <f>500000000/1000</f>
        <v>500000</v>
      </c>
      <c r="E64" s="536">
        <v>2012</v>
      </c>
      <c r="F64" s="1160" t="s">
        <v>7</v>
      </c>
      <c r="G64" s="1161"/>
      <c r="H64" s="538">
        <v>477027.92060000001</v>
      </c>
      <c r="I64" s="538">
        <v>426905.02931575099</v>
      </c>
      <c r="J64" s="594">
        <v>1000</v>
      </c>
      <c r="K64" s="539">
        <v>0</v>
      </c>
      <c r="L64" s="642">
        <f t="shared" ref="L64:L68" si="15">+H64-J64</f>
        <v>476027.92060000001</v>
      </c>
      <c r="M64" s="656">
        <v>445877.72473634098</v>
      </c>
    </row>
    <row r="65" spans="1:14" ht="47.25" x14ac:dyDescent="0.2">
      <c r="A65" s="235">
        <v>2</v>
      </c>
      <c r="B65" s="236" t="s">
        <v>125</v>
      </c>
      <c r="C65" s="237" t="s">
        <v>137</v>
      </c>
      <c r="D65" s="129">
        <v>2250000</v>
      </c>
      <c r="E65" s="237">
        <v>2016</v>
      </c>
      <c r="F65" s="1156">
        <v>0.02</v>
      </c>
      <c r="G65" s="1157"/>
      <c r="H65" s="413">
        <v>2012961.9251400002</v>
      </c>
      <c r="I65" s="574">
        <v>148255.9123541</v>
      </c>
      <c r="J65" s="561">
        <f>136692.12753</f>
        <v>136692.12753</v>
      </c>
      <c r="K65" s="650">
        <v>20190.256519999999</v>
      </c>
      <c r="L65" s="643">
        <f t="shared" si="15"/>
        <v>1876269.7976100002</v>
      </c>
      <c r="M65" s="657">
        <v>147859.23176954401</v>
      </c>
    </row>
    <row r="66" spans="1:14" ht="47.25" x14ac:dyDescent="0.2">
      <c r="A66" s="235">
        <v>3</v>
      </c>
      <c r="B66" s="236" t="s">
        <v>126</v>
      </c>
      <c r="C66" s="237" t="s">
        <v>137</v>
      </c>
      <c r="D66" s="129">
        <v>1070000</v>
      </c>
      <c r="E66" s="237">
        <v>2016</v>
      </c>
      <c r="F66" s="1156">
        <v>0.02</v>
      </c>
      <c r="G66" s="1157"/>
      <c r="H66" s="413">
        <v>822540.31874999998</v>
      </c>
      <c r="I66" s="574">
        <v>115775.78858875899</v>
      </c>
      <c r="J66" s="561">
        <f>16825.36452</f>
        <v>16825.364519999999</v>
      </c>
      <c r="K66" s="650">
        <v>7663.6935199999998</v>
      </c>
      <c r="L66" s="643">
        <f t="shared" si="15"/>
        <v>805714.95423000003</v>
      </c>
      <c r="M66" s="657">
        <v>116209.70660603201</v>
      </c>
    </row>
    <row r="67" spans="1:14" ht="47.25" x14ac:dyDescent="0.2">
      <c r="A67" s="235">
        <v>4</v>
      </c>
      <c r="B67" s="236" t="s">
        <v>19</v>
      </c>
      <c r="C67" s="237" t="s">
        <v>138</v>
      </c>
      <c r="D67" s="129">
        <f>200000000/1000</f>
        <v>200000</v>
      </c>
      <c r="E67" s="237">
        <v>2012</v>
      </c>
      <c r="F67" s="1162" t="s">
        <v>12</v>
      </c>
      <c r="G67" s="1163"/>
      <c r="H67" s="355">
        <v>200000</v>
      </c>
      <c r="I67" s="323">
        <v>0</v>
      </c>
      <c r="J67" s="323">
        <v>0</v>
      </c>
      <c r="K67" s="323">
        <v>0</v>
      </c>
      <c r="L67" s="644">
        <f t="shared" si="15"/>
        <v>200000</v>
      </c>
      <c r="M67" s="640">
        <f>+I67-K67</f>
        <v>0</v>
      </c>
    </row>
    <row r="68" spans="1:14" ht="47.25" x14ac:dyDescent="0.2">
      <c r="A68" s="235">
        <v>6</v>
      </c>
      <c r="B68" s="239" t="s">
        <v>170</v>
      </c>
      <c r="C68" s="240" t="s">
        <v>14</v>
      </c>
      <c r="D68" s="130">
        <v>1165000</v>
      </c>
      <c r="E68" s="131">
        <v>2019</v>
      </c>
      <c r="F68" s="1156">
        <v>0.02</v>
      </c>
      <c r="G68" s="1157"/>
      <c r="H68" s="414">
        <v>741000</v>
      </c>
      <c r="I68" s="413">
        <v>168.42972</v>
      </c>
      <c r="J68" s="597">
        <f>35000+36000</f>
        <v>71000</v>
      </c>
      <c r="K68" s="649">
        <v>168.42972</v>
      </c>
      <c r="L68" s="644">
        <f t="shared" si="15"/>
        <v>670000</v>
      </c>
      <c r="M68" s="655">
        <v>14820</v>
      </c>
    </row>
    <row r="69" spans="1:14" ht="21" thickBot="1" x14ac:dyDescent="0.25">
      <c r="A69" s="1190" t="s">
        <v>23</v>
      </c>
      <c r="B69" s="1191"/>
      <c r="C69" s="1191"/>
      <c r="D69" s="541">
        <f>+SUM(D64:D68)</f>
        <v>5185000</v>
      </c>
      <c r="E69" s="545"/>
      <c r="F69" s="546"/>
      <c r="G69" s="547"/>
      <c r="H69" s="541">
        <f t="shared" ref="H69:M69" si="16">+SUM(H64:H68)</f>
        <v>4253530.1644900003</v>
      </c>
      <c r="I69" s="541">
        <f t="shared" si="16"/>
        <v>691105.15997861</v>
      </c>
      <c r="J69" s="541">
        <f t="shared" si="16"/>
        <v>225517.49205</v>
      </c>
      <c r="K69" s="541">
        <f t="shared" si="16"/>
        <v>28022.37976</v>
      </c>
      <c r="L69" s="590">
        <f t="shared" si="16"/>
        <v>4028012.6724399999</v>
      </c>
      <c r="M69" s="641">
        <f t="shared" si="16"/>
        <v>724766.66311191698</v>
      </c>
    </row>
    <row r="72" spans="1:14" ht="67.5" customHeight="1" x14ac:dyDescent="0.2">
      <c r="A72" s="1198" t="s">
        <v>278</v>
      </c>
      <c r="B72" s="1198"/>
      <c r="C72" s="1198"/>
      <c r="D72" s="1198"/>
      <c r="E72" s="1198"/>
      <c r="F72" s="1198"/>
      <c r="G72" s="1198"/>
      <c r="H72" s="1198"/>
      <c r="I72" s="1198"/>
      <c r="J72" s="1198"/>
      <c r="K72" s="1198"/>
      <c r="L72" s="1198"/>
      <c r="M72" s="1198"/>
    </row>
    <row r="73" spans="1:14" ht="16.5" thickBot="1" x14ac:dyDescent="0.25">
      <c r="A73" s="1144" t="s">
        <v>232</v>
      </c>
      <c r="B73" s="1144"/>
      <c r="C73" s="1144"/>
      <c r="D73" s="1144"/>
      <c r="E73" s="1144"/>
      <c r="F73" s="1144"/>
      <c r="G73" s="1144"/>
      <c r="H73" s="1144"/>
      <c r="I73" s="1144"/>
      <c r="J73" s="1144"/>
      <c r="K73" s="1144"/>
      <c r="L73" s="1144"/>
      <c r="M73" s="1144"/>
    </row>
    <row r="74" spans="1:14" ht="48.75" customHeight="1" thickBot="1" x14ac:dyDescent="0.25">
      <c r="A74" s="635" t="s">
        <v>15</v>
      </c>
      <c r="B74" s="580" t="s">
        <v>0</v>
      </c>
      <c r="C74" s="581" t="s">
        <v>1</v>
      </c>
      <c r="D74" s="581" t="s">
        <v>2</v>
      </c>
      <c r="E74" s="581" t="s">
        <v>3</v>
      </c>
      <c r="F74" s="1199" t="s">
        <v>18</v>
      </c>
      <c r="G74" s="1200"/>
      <c r="H74" s="581" t="s">
        <v>199</v>
      </c>
      <c r="I74" s="581" t="s">
        <v>203</v>
      </c>
      <c r="J74" s="581" t="s">
        <v>99</v>
      </c>
      <c r="K74" s="581" t="s">
        <v>147</v>
      </c>
      <c r="L74" s="636" t="s">
        <v>279</v>
      </c>
      <c r="M74" s="646" t="s">
        <v>208</v>
      </c>
    </row>
    <row r="75" spans="1:14" ht="63" x14ac:dyDescent="0.2">
      <c r="A75" s="886">
        <v>1</v>
      </c>
      <c r="B75" s="887" t="s">
        <v>5</v>
      </c>
      <c r="C75" s="888" t="s">
        <v>127</v>
      </c>
      <c r="D75" s="778">
        <v>500</v>
      </c>
      <c r="E75" s="888">
        <v>2012</v>
      </c>
      <c r="F75" s="1242" t="s">
        <v>7</v>
      </c>
      <c r="G75" s="1242"/>
      <c r="H75" s="778">
        <v>477.02792060000002</v>
      </c>
      <c r="I75" s="754">
        <v>426.90502931575099</v>
      </c>
      <c r="J75" s="778">
        <v>12</v>
      </c>
      <c r="K75" s="778">
        <v>0</v>
      </c>
      <c r="L75" s="880">
        <f>+H75-J75</f>
        <v>465.02792060000002</v>
      </c>
      <c r="M75" s="637">
        <v>445877.72473634098</v>
      </c>
    </row>
    <row r="76" spans="1:14" ht="47.25" x14ac:dyDescent="0.2">
      <c r="A76" s="235">
        <v>2</v>
      </c>
      <c r="B76" s="236" t="s">
        <v>125</v>
      </c>
      <c r="C76" s="237" t="s">
        <v>137</v>
      </c>
      <c r="D76" s="779">
        <v>2250</v>
      </c>
      <c r="E76" s="237">
        <v>2016</v>
      </c>
      <c r="F76" s="1308">
        <v>0.02</v>
      </c>
      <c r="G76" s="1308"/>
      <c r="H76" s="779">
        <v>2012.9619251399999</v>
      </c>
      <c r="I76" s="756">
        <v>148.25591235409999</v>
      </c>
      <c r="J76" s="876">
        <f>187.7623266</f>
        <v>187.76232659999999</v>
      </c>
      <c r="K76" s="878">
        <v>28.171391589999999</v>
      </c>
      <c r="L76" s="881">
        <f t="shared" ref="L76:L78" si="17">+H76-J76</f>
        <v>1825.1995985399999</v>
      </c>
      <c r="M76" s="638">
        <v>147859.23176954401</v>
      </c>
      <c r="N76" s="153"/>
    </row>
    <row r="77" spans="1:14" ht="47.25" x14ac:dyDescent="0.2">
      <c r="A77" s="235">
        <v>3</v>
      </c>
      <c r="B77" s="236" t="s">
        <v>126</v>
      </c>
      <c r="C77" s="237" t="s">
        <v>137</v>
      </c>
      <c r="D77" s="779">
        <v>1070</v>
      </c>
      <c r="E77" s="237">
        <v>2016</v>
      </c>
      <c r="F77" s="1308">
        <v>0.02</v>
      </c>
      <c r="G77" s="1308"/>
      <c r="H77" s="779">
        <v>822.54031874999998</v>
      </c>
      <c r="I77" s="756">
        <v>115.775788588759</v>
      </c>
      <c r="J77" s="876">
        <f>111.69496059</f>
        <v>111.69496058999999</v>
      </c>
      <c r="K77" s="878">
        <v>15.644828589999999</v>
      </c>
      <c r="L77" s="881">
        <f t="shared" si="17"/>
        <v>710.84535815999993</v>
      </c>
      <c r="M77" s="638">
        <v>116209.70660603201</v>
      </c>
      <c r="N77" s="153"/>
    </row>
    <row r="78" spans="1:14" ht="48" thickBot="1" x14ac:dyDescent="0.25">
      <c r="A78" s="235">
        <v>4</v>
      </c>
      <c r="B78" s="236" t="s">
        <v>19</v>
      </c>
      <c r="C78" s="237" t="s">
        <v>138</v>
      </c>
      <c r="D78" s="779">
        <v>200</v>
      </c>
      <c r="E78" s="237">
        <v>2012</v>
      </c>
      <c r="F78" s="1309" t="s">
        <v>12</v>
      </c>
      <c r="G78" s="1309"/>
      <c r="H78" s="780">
        <v>200</v>
      </c>
      <c r="I78" s="758" t="s">
        <v>258</v>
      </c>
      <c r="J78" s="779">
        <v>0</v>
      </c>
      <c r="K78" s="779">
        <v>0</v>
      </c>
      <c r="L78" s="882">
        <f t="shared" si="17"/>
        <v>200</v>
      </c>
      <c r="M78" s="639">
        <f t="shared" ref="M78" si="18">+I78-K78</f>
        <v>0</v>
      </c>
      <c r="N78" s="153"/>
    </row>
    <row r="79" spans="1:14" ht="21" thickBot="1" x14ac:dyDescent="0.25">
      <c r="A79" s="1310" t="s">
        <v>23</v>
      </c>
      <c r="B79" s="1311"/>
      <c r="C79" s="1311"/>
      <c r="D79" s="783">
        <f>+SUM(D75:D78)</f>
        <v>4020</v>
      </c>
      <c r="E79" s="784"/>
      <c r="F79" s="785"/>
      <c r="G79" s="786"/>
      <c r="H79" s="783">
        <f t="shared" ref="H79:M79" si="19">+SUM(H75:H78)</f>
        <v>3512.5301644900001</v>
      </c>
      <c r="I79" s="787">
        <f t="shared" si="19"/>
        <v>690.93673025861005</v>
      </c>
      <c r="J79" s="783">
        <f t="shared" si="19"/>
        <v>311.45728718999999</v>
      </c>
      <c r="K79" s="783">
        <f t="shared" si="19"/>
        <v>43.816220180000002</v>
      </c>
      <c r="L79" s="874">
        <f t="shared" si="19"/>
        <v>3201.0728773000001</v>
      </c>
      <c r="M79" s="641">
        <f t="shared" si="19"/>
        <v>709946.66311191698</v>
      </c>
      <c r="N79" s="153"/>
    </row>
    <row r="80" spans="1:14" ht="35.25" thickBot="1" x14ac:dyDescent="0.25">
      <c r="D80" s="653"/>
      <c r="J80" s="1312">
        <f>+J79+K79</f>
        <v>355.27350737</v>
      </c>
      <c r="K80" s="1313"/>
      <c r="L80" s="865"/>
      <c r="N80" s="153"/>
    </row>
    <row r="81" spans="1:14" x14ac:dyDescent="0.2">
      <c r="N81" s="153"/>
    </row>
    <row r="82" spans="1:14" x14ac:dyDescent="0.2">
      <c r="N82" s="153"/>
    </row>
    <row r="83" spans="1:14" x14ac:dyDescent="0.2">
      <c r="N83" s="153"/>
    </row>
    <row r="85" spans="1:14" ht="75" customHeight="1" x14ac:dyDescent="0.2">
      <c r="A85" s="1198" t="s">
        <v>286</v>
      </c>
      <c r="B85" s="1198"/>
      <c r="C85" s="1198"/>
      <c r="D85" s="1198"/>
      <c r="E85" s="1198"/>
      <c r="F85" s="1198"/>
      <c r="G85" s="1198"/>
      <c r="H85" s="1198"/>
      <c r="I85" s="1198"/>
      <c r="J85" s="1198"/>
      <c r="K85" s="1198"/>
      <c r="L85" s="1198"/>
      <c r="M85" s="1198"/>
    </row>
    <row r="86" spans="1:14" ht="16.5" thickBot="1" x14ac:dyDescent="0.25">
      <c r="A86" s="1144" t="s">
        <v>232</v>
      </c>
      <c r="B86" s="1144"/>
      <c r="C86" s="1144"/>
      <c r="D86" s="1144"/>
      <c r="E86" s="1144"/>
      <c r="F86" s="1144"/>
      <c r="G86" s="1144"/>
      <c r="H86" s="1144"/>
      <c r="I86" s="1144"/>
      <c r="J86" s="1144"/>
      <c r="K86" s="1144"/>
      <c r="L86" s="1144"/>
      <c r="M86" s="1144"/>
    </row>
    <row r="87" spans="1:14" ht="55.5" customHeight="1" thickBot="1" x14ac:dyDescent="0.25">
      <c r="A87" s="635" t="s">
        <v>15</v>
      </c>
      <c r="B87" s="580" t="s">
        <v>0</v>
      </c>
      <c r="C87" s="581" t="s">
        <v>1</v>
      </c>
      <c r="D87" s="581" t="s">
        <v>2</v>
      </c>
      <c r="E87" s="581" t="s">
        <v>3</v>
      </c>
      <c r="F87" s="1199" t="s">
        <v>18</v>
      </c>
      <c r="G87" s="1200"/>
      <c r="H87" s="581" t="s">
        <v>199</v>
      </c>
      <c r="I87" s="581" t="s">
        <v>203</v>
      </c>
      <c r="J87" s="581" t="s">
        <v>99</v>
      </c>
      <c r="K87" s="581" t="s">
        <v>147</v>
      </c>
      <c r="L87" s="636" t="s">
        <v>287</v>
      </c>
      <c r="M87" s="646" t="s">
        <v>208</v>
      </c>
    </row>
    <row r="88" spans="1:14" ht="63" x14ac:dyDescent="0.2">
      <c r="A88" s="925">
        <v>1</v>
      </c>
      <c r="B88" s="926" t="s">
        <v>5</v>
      </c>
      <c r="C88" s="927" t="s">
        <v>127</v>
      </c>
      <c r="D88" s="778">
        <v>500</v>
      </c>
      <c r="E88" s="927">
        <v>2012</v>
      </c>
      <c r="F88" s="1242" t="s">
        <v>7</v>
      </c>
      <c r="G88" s="1242"/>
      <c r="H88" s="778">
        <v>477.02792060000002</v>
      </c>
      <c r="I88" s="754">
        <v>426.90502931575099</v>
      </c>
      <c r="J88" s="778">
        <v>13.08</v>
      </c>
      <c r="K88" s="923">
        <v>0</v>
      </c>
      <c r="L88" s="880">
        <f>+H88-J88</f>
        <v>463.94792060000003</v>
      </c>
      <c r="M88" s="637">
        <v>445877.72473634098</v>
      </c>
    </row>
    <row r="89" spans="1:14" ht="47.25" x14ac:dyDescent="0.2">
      <c r="A89" s="235">
        <v>2</v>
      </c>
      <c r="B89" s="236" t="s">
        <v>125</v>
      </c>
      <c r="C89" s="928" t="s">
        <v>137</v>
      </c>
      <c r="D89" s="779">
        <v>2250</v>
      </c>
      <c r="E89" s="928">
        <v>2016</v>
      </c>
      <c r="F89" s="1308">
        <v>0.02</v>
      </c>
      <c r="G89" s="1308"/>
      <c r="H89" s="779">
        <v>2012.9619251399999</v>
      </c>
      <c r="I89" s="756">
        <v>148.25591235409999</v>
      </c>
      <c r="J89" s="876">
        <f>188.4623266</f>
        <v>188.46232660000001</v>
      </c>
      <c r="K89" s="878">
        <v>28.171391570000001</v>
      </c>
      <c r="L89" s="881">
        <f t="shared" ref="L89:L92" si="20">+H89-J89</f>
        <v>1824.4995985399999</v>
      </c>
      <c r="M89" s="638">
        <v>147859.23176954401</v>
      </c>
      <c r="N89" s="929">
        <v>300000</v>
      </c>
    </row>
    <row r="90" spans="1:14" ht="47.25" x14ac:dyDescent="0.2">
      <c r="A90" s="235">
        <v>3</v>
      </c>
      <c r="B90" s="236" t="s">
        <v>126</v>
      </c>
      <c r="C90" s="928" t="s">
        <v>137</v>
      </c>
      <c r="D90" s="779">
        <v>1070</v>
      </c>
      <c r="E90" s="928">
        <v>2016</v>
      </c>
      <c r="F90" s="1308">
        <v>0.02</v>
      </c>
      <c r="G90" s="1308"/>
      <c r="H90" s="779">
        <v>822.54031874999998</v>
      </c>
      <c r="I90" s="756">
        <v>115.775788588759</v>
      </c>
      <c r="J90" s="876">
        <v>117.08506559</v>
      </c>
      <c r="K90" s="878">
        <v>15.644828589999999</v>
      </c>
      <c r="L90" s="881">
        <f t="shared" si="20"/>
        <v>705.45525315999998</v>
      </c>
      <c r="M90" s="638">
        <v>116209.70660603201</v>
      </c>
      <c r="N90" s="153"/>
    </row>
    <row r="91" spans="1:14" ht="47.25" x14ac:dyDescent="0.2">
      <c r="A91" s="235">
        <v>4</v>
      </c>
      <c r="B91" s="236" t="s">
        <v>19</v>
      </c>
      <c r="C91" s="928" t="s">
        <v>138</v>
      </c>
      <c r="D91" s="779">
        <v>200</v>
      </c>
      <c r="E91" s="928">
        <v>2012</v>
      </c>
      <c r="F91" s="1309" t="s">
        <v>12</v>
      </c>
      <c r="G91" s="1309"/>
      <c r="H91" s="780">
        <v>200</v>
      </c>
      <c r="I91" s="758" t="s">
        <v>258</v>
      </c>
      <c r="J91" s="758">
        <v>0</v>
      </c>
      <c r="K91" s="758">
        <v>0</v>
      </c>
      <c r="L91" s="882">
        <f t="shared" si="20"/>
        <v>200</v>
      </c>
      <c r="M91" s="639">
        <f t="shared" ref="M91:M92" si="21">+I91-K91</f>
        <v>0</v>
      </c>
      <c r="N91" s="153"/>
    </row>
    <row r="92" spans="1:14" ht="48" thickBot="1" x14ac:dyDescent="0.25">
      <c r="A92" s="924">
        <v>5</v>
      </c>
      <c r="B92" s="679" t="s">
        <v>170</v>
      </c>
      <c r="C92" s="680" t="s">
        <v>14</v>
      </c>
      <c r="D92" s="782">
        <v>1165</v>
      </c>
      <c r="E92" s="682">
        <v>2019</v>
      </c>
      <c r="F92" s="1315">
        <v>0.02</v>
      </c>
      <c r="G92" s="1315"/>
      <c r="H92" s="781">
        <v>741</v>
      </c>
      <c r="I92" s="758">
        <v>0</v>
      </c>
      <c r="J92" s="877">
        <v>106</v>
      </c>
      <c r="K92" s="879">
        <v>14.17359639</v>
      </c>
      <c r="L92" s="883">
        <f t="shared" si="20"/>
        <v>635</v>
      </c>
      <c r="M92" s="640">
        <f t="shared" si="21"/>
        <v>-14.17359639</v>
      </c>
      <c r="N92" s="153"/>
    </row>
    <row r="93" spans="1:14" ht="26.25" thickBot="1" x14ac:dyDescent="0.25">
      <c r="A93" s="1310" t="s">
        <v>23</v>
      </c>
      <c r="B93" s="1311"/>
      <c r="C93" s="1311"/>
      <c r="D93" s="783">
        <f>+SUM(D88:D92)</f>
        <v>5185</v>
      </c>
      <c r="E93" s="784"/>
      <c r="F93" s="785"/>
      <c r="G93" s="786"/>
      <c r="H93" s="783">
        <f t="shared" ref="H93:I93" si="22">+SUM(H88:H92)</f>
        <v>4253.5301644900001</v>
      </c>
      <c r="I93" s="787">
        <f t="shared" si="22"/>
        <v>690.93673025861005</v>
      </c>
      <c r="J93" s="783">
        <f>+SUM(J88:J92)</f>
        <v>424.62739219000002</v>
      </c>
      <c r="K93" s="783">
        <f>+SUM(K88:K92)</f>
        <v>57.98981655</v>
      </c>
      <c r="L93" s="874">
        <f t="shared" ref="L93:M93" si="23">+SUM(L88:L92)</f>
        <v>3828.9027722999999</v>
      </c>
      <c r="M93" s="641">
        <f t="shared" si="23"/>
        <v>709932.48951552692</v>
      </c>
      <c r="N93" s="864">
        <v>3808</v>
      </c>
    </row>
    <row r="94" spans="1:14" ht="35.25" thickBot="1" x14ac:dyDescent="0.25">
      <c r="D94" s="153"/>
      <c r="J94" s="1312">
        <f>+J93+K93</f>
        <v>482.61720874000002</v>
      </c>
      <c r="K94" s="1313"/>
      <c r="L94" s="865"/>
      <c r="N94" s="867">
        <f>+N93-L93</f>
        <v>-20.902772299999924</v>
      </c>
    </row>
    <row r="95" spans="1:14" ht="27.75" thickBot="1" x14ac:dyDescent="0.35">
      <c r="B95" s="912"/>
      <c r="C95" s="911"/>
      <c r="D95" s="653"/>
      <c r="J95" s="867">
        <v>16.5</v>
      </c>
      <c r="K95" s="867">
        <f>20.9-J95</f>
        <v>4.3999999999999986</v>
      </c>
      <c r="L95" s="804"/>
      <c r="N95" s="867" t="s">
        <v>280</v>
      </c>
    </row>
  </sheetData>
  <mergeCells count="65">
    <mergeCell ref="F90:G90"/>
    <mergeCell ref="F91:G91"/>
    <mergeCell ref="F92:G92"/>
    <mergeCell ref="A93:C93"/>
    <mergeCell ref="J94:K94"/>
    <mergeCell ref="A85:M85"/>
    <mergeCell ref="A86:M86"/>
    <mergeCell ref="F87:G87"/>
    <mergeCell ref="F88:G88"/>
    <mergeCell ref="F89:G89"/>
    <mergeCell ref="F66:G66"/>
    <mergeCell ref="F67:G67"/>
    <mergeCell ref="F68:G68"/>
    <mergeCell ref="A69:C69"/>
    <mergeCell ref="A61:M61"/>
    <mergeCell ref="A62:M62"/>
    <mergeCell ref="F63:G63"/>
    <mergeCell ref="F64:G64"/>
    <mergeCell ref="F65:G65"/>
    <mergeCell ref="F56:G56"/>
    <mergeCell ref="F57:G57"/>
    <mergeCell ref="F58:G58"/>
    <mergeCell ref="A59:C59"/>
    <mergeCell ref="A51:M51"/>
    <mergeCell ref="A52:M52"/>
    <mergeCell ref="F55:G55"/>
    <mergeCell ref="F53:G53"/>
    <mergeCell ref="F54:G54"/>
    <mergeCell ref="F47:G47"/>
    <mergeCell ref="F48:G48"/>
    <mergeCell ref="A49:C49"/>
    <mergeCell ref="A41:M41"/>
    <mergeCell ref="A42:M42"/>
    <mergeCell ref="F43:G43"/>
    <mergeCell ref="F44:G44"/>
    <mergeCell ref="F45:G45"/>
    <mergeCell ref="F46:G46"/>
    <mergeCell ref="F17:G17"/>
    <mergeCell ref="F18:G18"/>
    <mergeCell ref="F19:G19"/>
    <mergeCell ref="A20:C20"/>
    <mergeCell ref="F14:G14"/>
    <mergeCell ref="F15:G15"/>
    <mergeCell ref="F16:G16"/>
    <mergeCell ref="A12:N12"/>
    <mergeCell ref="A13:N13"/>
    <mergeCell ref="F6:G6"/>
    <mergeCell ref="F7:G7"/>
    <mergeCell ref="F8:G8"/>
    <mergeCell ref="A9:C9"/>
    <mergeCell ref="J10:K10"/>
    <mergeCell ref="A1:M1"/>
    <mergeCell ref="A2:M2"/>
    <mergeCell ref="F3:G3"/>
    <mergeCell ref="F4:G4"/>
    <mergeCell ref="F5:G5"/>
    <mergeCell ref="F77:G77"/>
    <mergeCell ref="F78:G78"/>
    <mergeCell ref="A79:C79"/>
    <mergeCell ref="J80:K80"/>
    <mergeCell ref="A72:M72"/>
    <mergeCell ref="A73:M73"/>
    <mergeCell ref="F74:G74"/>
    <mergeCell ref="F75:G75"/>
    <mergeCell ref="F76:G76"/>
  </mergeCells>
  <pageMargins left="0.15748031496062992" right="0.15748031496062992" top="0.23622047244094491" bottom="0.19685039370078741" header="0.19685039370078741" footer="0.19685039370078741"/>
  <pageSetup paperSize="9" scale="72" orientation="landscape" r:id="rId1"/>
  <rowBreaks count="1" manualBreakCount="1">
    <brk id="21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C9"/>
  <sheetViews>
    <sheetView zoomScaleNormal="100" zoomScaleSheetLayoutView="85" zoomScalePageLayoutView="60" workbookViewId="0">
      <selection activeCell="H21" sqref="H21"/>
    </sheetView>
  </sheetViews>
  <sheetFormatPr defaultRowHeight="14.25" x14ac:dyDescent="0.2"/>
  <cols>
    <col min="1" max="1" width="4" style="557" customWidth="1"/>
    <col min="2" max="2" width="67.28515625" style="3" customWidth="1"/>
    <col min="3" max="3" width="24" style="557" customWidth="1"/>
    <col min="4" max="16384" width="9.140625" style="557"/>
  </cols>
  <sheetData>
    <row r="1" spans="1:3" ht="73.5" customHeight="1" x14ac:dyDescent="0.2">
      <c r="A1" s="1318" t="s">
        <v>260</v>
      </c>
      <c r="B1" s="1318"/>
      <c r="C1" s="1318"/>
    </row>
    <row r="2" spans="1:3" ht="16.5" thickBot="1" x14ac:dyDescent="0.25">
      <c r="A2" s="1144" t="s">
        <v>232</v>
      </c>
      <c r="B2" s="1144"/>
      <c r="C2" s="1144"/>
    </row>
    <row r="3" spans="1:3" ht="57" customHeight="1" thickBot="1" x14ac:dyDescent="0.25">
      <c r="A3" s="635" t="s">
        <v>15</v>
      </c>
      <c r="B3" s="580" t="s">
        <v>0</v>
      </c>
      <c r="C3" s="636" t="s">
        <v>261</v>
      </c>
    </row>
    <row r="4" spans="1:3" ht="49.5" customHeight="1" x14ac:dyDescent="0.2">
      <c r="A4" s="797">
        <v>1</v>
      </c>
      <c r="B4" s="798" t="s">
        <v>5</v>
      </c>
      <c r="C4" s="755">
        <v>465.02792060000002</v>
      </c>
    </row>
    <row r="5" spans="1:3" ht="40.5" x14ac:dyDescent="0.2">
      <c r="A5" s="799">
        <v>2</v>
      </c>
      <c r="B5" s="800" t="s">
        <v>125</v>
      </c>
      <c r="C5" s="757">
        <v>1826.20312154</v>
      </c>
    </row>
    <row r="6" spans="1:3" ht="40.5" x14ac:dyDescent="0.2">
      <c r="A6" s="799">
        <v>3</v>
      </c>
      <c r="B6" s="800" t="s">
        <v>126</v>
      </c>
      <c r="C6" s="757">
        <v>712.55241416000001</v>
      </c>
    </row>
    <row r="7" spans="1:3" ht="40.5" x14ac:dyDescent="0.2">
      <c r="A7" s="799">
        <v>4</v>
      </c>
      <c r="B7" s="800" t="s">
        <v>19</v>
      </c>
      <c r="C7" s="759">
        <v>200</v>
      </c>
    </row>
    <row r="8" spans="1:3" ht="41.25" thickBot="1" x14ac:dyDescent="0.25">
      <c r="A8" s="801">
        <v>5</v>
      </c>
      <c r="B8" s="802" t="s">
        <v>170</v>
      </c>
      <c r="C8" s="760">
        <v>635</v>
      </c>
    </row>
    <row r="9" spans="1:3" ht="45.75" customHeight="1" thickBot="1" x14ac:dyDescent="0.25">
      <c r="A9" s="1310" t="s">
        <v>23</v>
      </c>
      <c r="B9" s="1311"/>
      <c r="C9" s="788">
        <f>+SUM(C4:C8)</f>
        <v>3838.7834562999997</v>
      </c>
    </row>
  </sheetData>
  <mergeCells count="3">
    <mergeCell ref="A9:B9"/>
    <mergeCell ref="A1:C1"/>
    <mergeCell ref="A2:C2"/>
  </mergeCells>
  <pageMargins left="0.47244094488188981" right="0.15748031496062992" top="0.24" bottom="0.19685039370078741" header="0.19685039370078741" footer="0.19685039370078741"/>
  <pageSetup paperSize="9" scale="62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</sheetPr>
  <dimension ref="A1:O14"/>
  <sheetViews>
    <sheetView view="pageBreakPreview" zoomScale="85" zoomScaleNormal="85" zoomScaleSheetLayoutView="85" zoomScalePageLayoutView="60" workbookViewId="0">
      <selection activeCell="O8" sqref="O8"/>
    </sheetView>
  </sheetViews>
  <sheetFormatPr defaultRowHeight="14.25" x14ac:dyDescent="0.2"/>
  <cols>
    <col min="1" max="1" width="4" style="557" customWidth="1"/>
    <col min="2" max="2" width="43.7109375" style="3" customWidth="1"/>
    <col min="3" max="3" width="21.42578125" style="557" customWidth="1"/>
    <col min="4" max="4" width="22.42578125" style="557" customWidth="1"/>
    <col min="5" max="5" width="12.28515625" style="557" hidden="1" customWidth="1"/>
    <col min="6" max="6" width="11.85546875" style="557" hidden="1" customWidth="1"/>
    <col min="7" max="7" width="16.5703125" style="557" hidden="1" customWidth="1"/>
    <col min="8" max="8" width="23.28515625" style="557" customWidth="1"/>
    <col min="9" max="9" width="24" style="557" hidden="1" customWidth="1"/>
    <col min="10" max="10" width="20" style="557" hidden="1" customWidth="1"/>
    <col min="11" max="11" width="20.28515625" style="557" hidden="1" customWidth="1"/>
    <col min="12" max="12" width="27" style="557" customWidth="1"/>
    <col min="13" max="13" width="22.7109375" style="557" customWidth="1"/>
    <col min="14" max="15" width="21.85546875" style="557" customWidth="1"/>
    <col min="16" max="16384" width="9.140625" style="557"/>
  </cols>
  <sheetData>
    <row r="1" spans="1:15" s="122" customFormat="1" ht="42" customHeight="1" x14ac:dyDescent="0.25">
      <c r="A1" s="1143" t="s">
        <v>267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  <c r="O1" s="1143"/>
    </row>
    <row r="2" spans="1:15" ht="21.75" customHeight="1" thickBot="1" x14ac:dyDescent="0.25">
      <c r="A2" s="1314" t="s">
        <v>91</v>
      </c>
      <c r="B2" s="1314"/>
      <c r="C2" s="1314"/>
      <c r="D2" s="1314"/>
      <c r="E2" s="1314"/>
      <c r="F2" s="1314"/>
      <c r="G2" s="1314"/>
      <c r="H2" s="1314"/>
      <c r="I2" s="1314"/>
      <c r="J2" s="1314"/>
      <c r="K2" s="1314"/>
      <c r="L2" s="1314"/>
      <c r="M2" s="1314"/>
      <c r="N2" s="1314"/>
      <c r="O2" s="1314"/>
    </row>
    <row r="3" spans="1:15" s="409" customFormat="1" ht="51" customHeight="1" thickBot="1" x14ac:dyDescent="0.3">
      <c r="A3" s="868" t="s">
        <v>15</v>
      </c>
      <c r="B3" s="869" t="s">
        <v>0</v>
      </c>
      <c r="C3" s="870" t="s">
        <v>1</v>
      </c>
      <c r="D3" s="871" t="s">
        <v>2</v>
      </c>
      <c r="E3" s="870" t="s">
        <v>3</v>
      </c>
      <c r="F3" s="870" t="s">
        <v>4</v>
      </c>
      <c r="G3" s="872" t="s">
        <v>18</v>
      </c>
      <c r="H3" s="870" t="s">
        <v>269</v>
      </c>
      <c r="I3" s="870" t="s">
        <v>203</v>
      </c>
      <c r="J3" s="870" t="s">
        <v>99</v>
      </c>
      <c r="K3" s="870" t="s">
        <v>147</v>
      </c>
      <c r="L3" s="873" t="s">
        <v>270</v>
      </c>
      <c r="M3" s="873" t="s">
        <v>271</v>
      </c>
      <c r="N3" s="873" t="s">
        <v>272</v>
      </c>
      <c r="O3" s="873" t="s">
        <v>273</v>
      </c>
    </row>
    <row r="4" spans="1:15" ht="51.75" customHeight="1" x14ac:dyDescent="0.2">
      <c r="A4" s="534">
        <v>1</v>
      </c>
      <c r="B4" s="535" t="s">
        <v>5</v>
      </c>
      <c r="C4" s="536" t="s">
        <v>127</v>
      </c>
      <c r="D4" s="537">
        <f>500000000/1000</f>
        <v>500000</v>
      </c>
      <c r="E4" s="536">
        <v>2012</v>
      </c>
      <c r="F4" s="536" t="s">
        <v>129</v>
      </c>
      <c r="G4" s="790" t="s">
        <v>7</v>
      </c>
      <c r="H4" s="537">
        <v>477027.92060000001</v>
      </c>
      <c r="I4" s="537">
        <v>426905.02931575099</v>
      </c>
      <c r="J4" s="537">
        <f>1000+1000+10000</f>
        <v>12000</v>
      </c>
      <c r="K4" s="537">
        <v>0</v>
      </c>
      <c r="L4" s="768">
        <v>465027.92060000001</v>
      </c>
      <c r="M4" s="768">
        <v>465027.92060000001</v>
      </c>
      <c r="N4" s="768">
        <v>465027.92060000001</v>
      </c>
      <c r="O4" s="768">
        <v>465027.92060000001</v>
      </c>
    </row>
    <row r="5" spans="1:15" ht="47.25" customHeight="1" x14ac:dyDescent="0.2">
      <c r="A5" s="235">
        <v>2</v>
      </c>
      <c r="B5" s="236" t="s">
        <v>125</v>
      </c>
      <c r="C5" s="237" t="s">
        <v>137</v>
      </c>
      <c r="D5" s="129">
        <v>2250000</v>
      </c>
      <c r="E5" s="237">
        <v>2016</v>
      </c>
      <c r="F5" s="237" t="s">
        <v>130</v>
      </c>
      <c r="G5" s="789">
        <v>0.02</v>
      </c>
      <c r="H5" s="129">
        <v>2012961.9251400002</v>
      </c>
      <c r="I5" s="769">
        <v>148255.9123541</v>
      </c>
      <c r="J5" s="770">
        <v>173385.09460000001</v>
      </c>
      <c r="K5" s="771">
        <f>20190.25652+7981.13507</f>
        <v>28171.391589999999</v>
      </c>
      <c r="L5" s="772">
        <v>1826203.1215400002</v>
      </c>
      <c r="M5" s="772">
        <f>1839576.83054-214000</f>
        <v>1625576.83054</v>
      </c>
      <c r="N5" s="772">
        <f>1625576.83054-214000</f>
        <v>1411576.83054</v>
      </c>
      <c r="O5" s="772">
        <f>1411576.83054-214000</f>
        <v>1197576.83054</v>
      </c>
    </row>
    <row r="6" spans="1:15" ht="38.25" customHeight="1" x14ac:dyDescent="0.2">
      <c r="A6" s="235">
        <v>3</v>
      </c>
      <c r="B6" s="236" t="s">
        <v>126</v>
      </c>
      <c r="C6" s="237" t="s">
        <v>137</v>
      </c>
      <c r="D6" s="129">
        <v>1070000</v>
      </c>
      <c r="E6" s="237">
        <v>2016</v>
      </c>
      <c r="F6" s="237" t="s">
        <v>130</v>
      </c>
      <c r="G6" s="789">
        <v>0.02</v>
      </c>
      <c r="H6" s="129">
        <v>822540.31874999998</v>
      </c>
      <c r="I6" s="769">
        <v>115775.78858875899</v>
      </c>
      <c r="J6" s="770">
        <v>90146.464590000003</v>
      </c>
      <c r="K6" s="771">
        <f>7663.69352+7981.13507</f>
        <v>15644.828590000001</v>
      </c>
      <c r="L6" s="772">
        <v>712552.41415999993</v>
      </c>
      <c r="M6" s="772">
        <f>732393.85416-106400</f>
        <v>625993.85415999999</v>
      </c>
      <c r="N6" s="772">
        <f>625993.85416-106400</f>
        <v>519593.85415999999</v>
      </c>
      <c r="O6" s="772">
        <f>519593.85416-106400</f>
        <v>413193.85415999999</v>
      </c>
    </row>
    <row r="7" spans="1:15" ht="36" customHeight="1" x14ac:dyDescent="0.2">
      <c r="A7" s="235">
        <v>4</v>
      </c>
      <c r="B7" s="236" t="s">
        <v>19</v>
      </c>
      <c r="C7" s="237" t="s">
        <v>138</v>
      </c>
      <c r="D7" s="129">
        <f>200000000/1000</f>
        <v>200000</v>
      </c>
      <c r="E7" s="237">
        <v>2012</v>
      </c>
      <c r="F7" s="237" t="s">
        <v>131</v>
      </c>
      <c r="G7" s="791" t="s">
        <v>12</v>
      </c>
      <c r="H7" s="773">
        <v>200000</v>
      </c>
      <c r="I7" s="129">
        <v>0</v>
      </c>
      <c r="J7" s="129">
        <v>0</v>
      </c>
      <c r="K7" s="129">
        <v>0</v>
      </c>
      <c r="L7" s="774">
        <v>200000</v>
      </c>
      <c r="M7" s="774">
        <v>200000</v>
      </c>
      <c r="N7" s="774">
        <v>200000</v>
      </c>
      <c r="O7" s="774">
        <v>200000</v>
      </c>
    </row>
    <row r="8" spans="1:15" ht="51.75" customHeight="1" x14ac:dyDescent="0.2">
      <c r="A8" s="235">
        <v>5</v>
      </c>
      <c r="B8" s="239" t="s">
        <v>170</v>
      </c>
      <c r="C8" s="240" t="s">
        <v>14</v>
      </c>
      <c r="D8" s="130">
        <v>1165000</v>
      </c>
      <c r="E8" s="131">
        <v>2019</v>
      </c>
      <c r="F8" s="131" t="s">
        <v>96</v>
      </c>
      <c r="G8" s="789">
        <v>0.02</v>
      </c>
      <c r="H8" s="775">
        <v>741000</v>
      </c>
      <c r="I8" s="129">
        <v>168.42972</v>
      </c>
      <c r="J8" s="770">
        <f>35000+36000+25000</f>
        <v>96000</v>
      </c>
      <c r="K8" s="129">
        <v>168.42972</v>
      </c>
      <c r="L8" s="774">
        <v>635000</v>
      </c>
      <c r="M8" s="774">
        <f>635000-106000</f>
        <v>529000</v>
      </c>
      <c r="N8" s="774">
        <f>529000-106000</f>
        <v>423000</v>
      </c>
      <c r="O8" s="774">
        <f>423000-106000</f>
        <v>317000</v>
      </c>
    </row>
    <row r="9" spans="1:15" s="409" customFormat="1" ht="30" customHeight="1" thickBot="1" x14ac:dyDescent="0.3">
      <c r="A9" s="1257" t="s">
        <v>246</v>
      </c>
      <c r="B9" s="1258"/>
      <c r="C9" s="1258"/>
      <c r="D9" s="742">
        <f>+SUM(D4:D8)</f>
        <v>5185000</v>
      </c>
      <c r="E9" s="743"/>
      <c r="F9" s="744"/>
      <c r="G9" s="744"/>
      <c r="H9" s="776">
        <f>+SUM(H4:H8)</f>
        <v>4253530.1644900003</v>
      </c>
      <c r="I9" s="776">
        <f t="shared" ref="I9:K9" si="0">+SUM(I4:I8)</f>
        <v>691105.15997861</v>
      </c>
      <c r="J9" s="776">
        <f t="shared" si="0"/>
        <v>371531.55919</v>
      </c>
      <c r="K9" s="776">
        <f t="shared" si="0"/>
        <v>43984.649900000004</v>
      </c>
      <c r="L9" s="777">
        <f>+SUM(L4:L8)</f>
        <v>3838783.4562999997</v>
      </c>
      <c r="M9" s="777">
        <f t="shared" ref="M9:O9" si="1">+SUM(M4:M8)</f>
        <v>3445598.6052999999</v>
      </c>
      <c r="N9" s="777">
        <f t="shared" si="1"/>
        <v>3019198.6052999999</v>
      </c>
      <c r="O9" s="777">
        <f t="shared" si="1"/>
        <v>2592798.6052999999</v>
      </c>
    </row>
    <row r="10" spans="1:15" s="409" customFormat="1" ht="51" customHeight="1" thickBot="1" x14ac:dyDescent="0.3">
      <c r="A10" s="868" t="s">
        <v>15</v>
      </c>
      <c r="B10" s="869" t="s">
        <v>0</v>
      </c>
      <c r="C10" s="870" t="s">
        <v>1</v>
      </c>
      <c r="D10" s="871" t="s">
        <v>2</v>
      </c>
      <c r="E10" s="870"/>
      <c r="F10" s="870"/>
      <c r="G10" s="872"/>
      <c r="H10" s="870" t="s">
        <v>199</v>
      </c>
      <c r="I10" s="870"/>
      <c r="J10" s="870"/>
      <c r="K10" s="870"/>
      <c r="L10" s="873" t="s">
        <v>268</v>
      </c>
      <c r="M10" s="873" t="s">
        <v>274</v>
      </c>
      <c r="N10" s="873" t="s">
        <v>275</v>
      </c>
      <c r="O10" s="873" t="s">
        <v>276</v>
      </c>
    </row>
    <row r="11" spans="1:15" ht="63.75" customHeight="1" x14ac:dyDescent="0.2">
      <c r="A11" s="792">
        <v>6</v>
      </c>
      <c r="B11" s="793" t="s">
        <v>264</v>
      </c>
      <c r="C11" s="794" t="s">
        <v>265</v>
      </c>
      <c r="D11" s="795">
        <v>530000</v>
      </c>
      <c r="E11" s="730">
        <v>45308</v>
      </c>
      <c r="F11" s="131" t="s">
        <v>158</v>
      </c>
      <c r="G11" s="789">
        <v>0.08</v>
      </c>
      <c r="H11" s="323">
        <v>0</v>
      </c>
      <c r="I11" s="796">
        <v>0</v>
      </c>
      <c r="J11" s="803">
        <v>177655.88146999999</v>
      </c>
      <c r="K11" s="796">
        <v>8244.1185299999997</v>
      </c>
      <c r="L11" s="687">
        <v>369000</v>
      </c>
      <c r="M11" s="687"/>
      <c r="N11" s="687"/>
      <c r="O11" s="687"/>
    </row>
    <row r="12" spans="1:15" s="409" customFormat="1" ht="33" customHeight="1" thickBot="1" x14ac:dyDescent="0.3">
      <c r="A12" s="1257" t="s">
        <v>23</v>
      </c>
      <c r="B12" s="1258"/>
      <c r="C12" s="1258"/>
      <c r="D12" s="742">
        <f>+SUM(D11:D11)</f>
        <v>530000</v>
      </c>
      <c r="E12" s="743"/>
      <c r="F12" s="744"/>
      <c r="G12" s="744"/>
      <c r="H12" s="742">
        <f>+SUM(H11:H11)</f>
        <v>0</v>
      </c>
      <c r="I12" s="742">
        <f>+SUM(I11:I11)</f>
        <v>0</v>
      </c>
      <c r="J12" s="742">
        <f>+SUM(J11:J11)</f>
        <v>177655.88146999999</v>
      </c>
      <c r="K12" s="742">
        <f>+SUM(K11:K11)</f>
        <v>8244.1185299999997</v>
      </c>
      <c r="L12" s="752">
        <f>+L11</f>
        <v>369000</v>
      </c>
      <c r="M12" s="752">
        <f>+M11</f>
        <v>0</v>
      </c>
      <c r="N12" s="752">
        <f>+N11</f>
        <v>0</v>
      </c>
      <c r="O12" s="752">
        <f>+O11</f>
        <v>0</v>
      </c>
    </row>
    <row r="13" spans="1:15" s="409" customFormat="1" ht="30" customHeight="1" thickBot="1" x14ac:dyDescent="0.3">
      <c r="A13" s="1190" t="s">
        <v>23</v>
      </c>
      <c r="B13" s="1191"/>
      <c r="C13" s="1191"/>
      <c r="D13" s="541">
        <f>+SUM(D9:D11)</f>
        <v>5715000</v>
      </c>
      <c r="E13" s="545"/>
      <c r="F13" s="546"/>
      <c r="G13" s="546"/>
      <c r="H13" s="541">
        <f>+H9+H12</f>
        <v>4253530.1644900003</v>
      </c>
      <c r="I13" s="541">
        <f>+SUM(I9:I11)</f>
        <v>691105.15997861</v>
      </c>
      <c r="J13" s="541">
        <f>+J9+J12</f>
        <v>549187.44065999996</v>
      </c>
      <c r="K13" s="541">
        <f>+K9+K12</f>
        <v>52228.768430000004</v>
      </c>
      <c r="L13" s="590">
        <f>+L9+L12</f>
        <v>4207783.4562999997</v>
      </c>
      <c r="M13" s="590">
        <f t="shared" ref="M13:O13" si="2">+M9+M12</f>
        <v>3445598.6052999999</v>
      </c>
      <c r="N13" s="590">
        <f t="shared" si="2"/>
        <v>3019198.6052999999</v>
      </c>
      <c r="O13" s="590">
        <f t="shared" si="2"/>
        <v>2592798.6052999999</v>
      </c>
    </row>
    <row r="14" spans="1:15" ht="24" customHeight="1" x14ac:dyDescent="0.2">
      <c r="A14" s="360"/>
      <c r="B14" s="360"/>
      <c r="C14" s="361"/>
      <c r="D14" s="362"/>
      <c r="E14" s="363"/>
      <c r="F14" s="363"/>
      <c r="G14" s="364"/>
      <c r="H14" s="575"/>
      <c r="I14" s="575"/>
      <c r="J14" s="370"/>
      <c r="K14" s="370"/>
      <c r="L14" s="370"/>
      <c r="M14" s="370"/>
      <c r="N14" s="370"/>
      <c r="O14" s="370"/>
    </row>
  </sheetData>
  <mergeCells count="5">
    <mergeCell ref="A12:C12"/>
    <mergeCell ref="A13:C13"/>
    <mergeCell ref="A9:C9"/>
    <mergeCell ref="A1:O1"/>
    <mergeCell ref="A2:O2"/>
  </mergeCells>
  <pageMargins left="1.7716535433070868" right="0.15748031496062992" top="0.62992125984251968" bottom="0.19685039370078741" header="0.15748031496062992" footer="0.19685039370078741"/>
  <pageSetup paperSize="9" scale="5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5"/>
  <dimension ref="A1:M36"/>
  <sheetViews>
    <sheetView zoomScale="85" zoomScaleNormal="85" zoomScaleSheetLayoutView="100" workbookViewId="0">
      <selection activeCell="L26" sqref="L26"/>
    </sheetView>
  </sheetViews>
  <sheetFormatPr defaultRowHeight="15" x14ac:dyDescent="0.25"/>
  <cols>
    <col min="1" max="1" width="5" customWidth="1"/>
    <col min="2" max="3" width="14.28515625" bestFit="1" customWidth="1"/>
    <col min="4" max="4" width="21.140625" customWidth="1"/>
    <col min="5" max="5" width="13" customWidth="1"/>
    <col min="6" max="6" width="7.85546875" customWidth="1"/>
    <col min="7" max="7" width="8" customWidth="1"/>
    <col min="8" max="8" width="19.5703125" customWidth="1"/>
    <col min="9" max="9" width="18.42578125" customWidth="1"/>
    <col min="10" max="10" width="24.42578125" customWidth="1"/>
    <col min="11" max="11" width="20.140625" customWidth="1"/>
    <col min="12" max="12" width="19.7109375" customWidth="1"/>
    <col min="13" max="13" width="26.85546875" customWidth="1"/>
  </cols>
  <sheetData>
    <row r="1" spans="1:13" ht="78.75" customHeight="1" x14ac:dyDescent="0.25">
      <c r="A1" s="1331" t="s">
        <v>155</v>
      </c>
      <c r="B1" s="1331"/>
      <c r="C1" s="1331"/>
      <c r="D1" s="1331"/>
      <c r="E1" s="1331"/>
      <c r="F1" s="1331"/>
      <c r="G1" s="1331"/>
      <c r="H1" s="1331"/>
      <c r="I1" s="1331"/>
      <c r="J1" s="1331"/>
      <c r="K1" s="1331"/>
      <c r="L1" s="1331"/>
      <c r="M1" s="1331"/>
    </row>
    <row r="2" spans="1:13" ht="23.25" thickBot="1" x14ac:dyDescent="0.35">
      <c r="A2" s="116"/>
      <c r="B2" s="116"/>
      <c r="C2" s="116"/>
      <c r="D2" s="116"/>
      <c r="E2" s="116"/>
      <c r="F2" s="116"/>
      <c r="G2" s="116"/>
      <c r="H2" s="234"/>
      <c r="I2" s="116"/>
      <c r="J2" s="116"/>
      <c r="K2" s="116"/>
      <c r="L2" s="116"/>
      <c r="M2" s="93" t="s">
        <v>20</v>
      </c>
    </row>
    <row r="3" spans="1:13" ht="45" customHeight="1" thickBot="1" x14ac:dyDescent="0.3">
      <c r="A3" s="1108" t="s">
        <v>15</v>
      </c>
      <c r="B3" s="1110" t="s">
        <v>24</v>
      </c>
      <c r="C3" s="1111"/>
      <c r="D3" s="1103" t="s">
        <v>25</v>
      </c>
      <c r="E3" s="1103" t="s">
        <v>18</v>
      </c>
      <c r="F3" s="1103" t="s">
        <v>31</v>
      </c>
      <c r="G3" s="1103" t="s">
        <v>26</v>
      </c>
      <c r="H3" s="1105" t="s">
        <v>104</v>
      </c>
      <c r="I3" s="1106"/>
      <c r="J3" s="1107"/>
      <c r="K3" s="1103" t="s">
        <v>17</v>
      </c>
      <c r="L3" s="1103" t="s">
        <v>71</v>
      </c>
      <c r="M3" s="1103" t="s">
        <v>122</v>
      </c>
    </row>
    <row r="4" spans="1:13" ht="42" customHeight="1" thickBot="1" x14ac:dyDescent="0.3">
      <c r="A4" s="1109"/>
      <c r="B4" s="1332"/>
      <c r="C4" s="1333"/>
      <c r="D4" s="1334"/>
      <c r="E4" s="1334"/>
      <c r="F4" s="1334"/>
      <c r="G4" s="1334"/>
      <c r="H4" s="231" t="s">
        <v>58</v>
      </c>
      <c r="I4" s="259" t="s">
        <v>55</v>
      </c>
      <c r="J4" s="258" t="s">
        <v>29</v>
      </c>
      <c r="K4" s="1334"/>
      <c r="L4" s="1334"/>
      <c r="M4" s="1334"/>
    </row>
    <row r="5" spans="1:13" ht="21.75" customHeight="1" thickBot="1" x14ac:dyDescent="0.3">
      <c r="A5" s="290">
        <v>1</v>
      </c>
      <c r="B5" s="280">
        <v>44927</v>
      </c>
      <c r="C5" s="280">
        <v>44957</v>
      </c>
      <c r="D5" s="301">
        <v>847000000</v>
      </c>
      <c r="E5" s="340">
        <v>0.02</v>
      </c>
      <c r="F5" s="263">
        <f>C5-B5</f>
        <v>30</v>
      </c>
      <c r="G5" s="347">
        <v>360</v>
      </c>
      <c r="H5" s="301">
        <v>0</v>
      </c>
      <c r="I5" s="291">
        <f>D5*E5*F5/G5</f>
        <v>1411666.6666666667</v>
      </c>
      <c r="J5" s="301">
        <f t="shared" ref="J5:J16" si="0">H5+I5</f>
        <v>1411666.6666666667</v>
      </c>
      <c r="K5" s="291"/>
      <c r="L5" s="302">
        <v>0</v>
      </c>
      <c r="M5" s="277">
        <f>+J5-K5-L5</f>
        <v>1411666.6666666667</v>
      </c>
    </row>
    <row r="6" spans="1:13" ht="19.5" customHeight="1" thickBot="1" x14ac:dyDescent="0.3">
      <c r="A6" s="284">
        <v>2</v>
      </c>
      <c r="B6" s="283">
        <v>44958</v>
      </c>
      <c r="C6" s="283">
        <v>44985</v>
      </c>
      <c r="D6" s="303">
        <f>D5-K6</f>
        <v>847000000</v>
      </c>
      <c r="E6" s="341">
        <v>0.02</v>
      </c>
      <c r="F6" s="287">
        <f>C6-B6+3</f>
        <v>30</v>
      </c>
      <c r="G6" s="348">
        <v>360</v>
      </c>
      <c r="H6" s="303">
        <v>0</v>
      </c>
      <c r="I6" s="285">
        <f t="shared" ref="I6:I30" si="1">D6*E6*F6/G6</f>
        <v>1411666.6666666667</v>
      </c>
      <c r="J6" s="303">
        <f t="shared" si="0"/>
        <v>1411666.6666666667</v>
      </c>
      <c r="K6" s="285"/>
      <c r="L6" s="304">
        <v>0</v>
      </c>
      <c r="M6" s="286">
        <f>M5+J6</f>
        <v>2823333.3333333335</v>
      </c>
    </row>
    <row r="7" spans="1:13" ht="18" x14ac:dyDescent="0.25">
      <c r="A7" s="1325">
        <v>3</v>
      </c>
      <c r="B7" s="280">
        <v>44986</v>
      </c>
      <c r="C7" s="280">
        <v>45013</v>
      </c>
      <c r="D7" s="301">
        <f>D6-K7</f>
        <v>847000000</v>
      </c>
      <c r="E7" s="340">
        <v>0.02</v>
      </c>
      <c r="F7" s="289">
        <f>C7-B7+1</f>
        <v>28</v>
      </c>
      <c r="G7" s="349">
        <v>360</v>
      </c>
      <c r="H7" s="305">
        <v>0</v>
      </c>
      <c r="I7" s="262">
        <f t="shared" si="1"/>
        <v>1317555.5555555555</v>
      </c>
      <c r="J7" s="305">
        <f t="shared" si="0"/>
        <v>1317555.5555555555</v>
      </c>
      <c r="K7" s="262"/>
      <c r="L7" s="306">
        <v>0</v>
      </c>
      <c r="M7" s="264">
        <f>M6+J7</f>
        <v>4140888.888888889</v>
      </c>
    </row>
    <row r="8" spans="1:13" ht="18" x14ac:dyDescent="0.25">
      <c r="A8" s="1326"/>
      <c r="B8" s="265">
        <v>45014</v>
      </c>
      <c r="C8" s="265">
        <v>45014</v>
      </c>
      <c r="D8" s="314">
        <f>D7-K8</f>
        <v>812000000</v>
      </c>
      <c r="E8" s="342">
        <v>0.02</v>
      </c>
      <c r="F8" s="266">
        <v>1</v>
      </c>
      <c r="G8" s="350">
        <v>360</v>
      </c>
      <c r="H8" s="314">
        <v>0</v>
      </c>
      <c r="I8" s="266">
        <f t="shared" si="1"/>
        <v>45111.111111111109</v>
      </c>
      <c r="J8" s="314">
        <f t="shared" si="0"/>
        <v>45111.111111111109</v>
      </c>
      <c r="K8" s="271">
        <v>35000000</v>
      </c>
      <c r="L8" s="151">
        <v>0</v>
      </c>
      <c r="M8" s="268">
        <f>M7+J8</f>
        <v>4186000</v>
      </c>
    </row>
    <row r="9" spans="1:13" ht="18.75" thickBot="1" x14ac:dyDescent="0.3">
      <c r="A9" s="1327"/>
      <c r="B9" s="279">
        <v>45015</v>
      </c>
      <c r="C9" s="288">
        <v>45016</v>
      </c>
      <c r="D9" s="312">
        <f>D8</f>
        <v>812000000</v>
      </c>
      <c r="E9" s="343">
        <v>0.02</v>
      </c>
      <c r="F9" s="278">
        <v>1</v>
      </c>
      <c r="G9" s="351">
        <v>360</v>
      </c>
      <c r="H9" s="336">
        <v>35000000</v>
      </c>
      <c r="I9" s="274">
        <f t="shared" si="1"/>
        <v>45111.111111111109</v>
      </c>
      <c r="J9" s="300">
        <f t="shared" si="0"/>
        <v>35045111.111111112</v>
      </c>
      <c r="K9" s="274"/>
      <c r="L9" s="307">
        <v>0</v>
      </c>
      <c r="M9" s="281">
        <f>M8+J9-K8</f>
        <v>4231111.1111111119</v>
      </c>
    </row>
    <row r="10" spans="1:13" ht="21.75" customHeight="1" thickBot="1" x14ac:dyDescent="0.3">
      <c r="A10" s="284">
        <v>4</v>
      </c>
      <c r="B10" s="283">
        <v>45017</v>
      </c>
      <c r="C10" s="283">
        <v>45046</v>
      </c>
      <c r="D10" s="303">
        <f>D8-K10</f>
        <v>812000000</v>
      </c>
      <c r="E10" s="341">
        <v>0.02</v>
      </c>
      <c r="F10" s="287">
        <f>C10-B10+1</f>
        <v>30</v>
      </c>
      <c r="G10" s="348">
        <v>360</v>
      </c>
      <c r="H10" s="303">
        <v>0</v>
      </c>
      <c r="I10" s="285">
        <f t="shared" si="1"/>
        <v>1353333.3333333333</v>
      </c>
      <c r="J10" s="303">
        <f t="shared" si="0"/>
        <v>1353333.3333333333</v>
      </c>
      <c r="K10" s="285"/>
      <c r="L10" s="304">
        <v>0</v>
      </c>
      <c r="M10" s="286">
        <f>M9+J10</f>
        <v>5584444.444444445</v>
      </c>
    </row>
    <row r="11" spans="1:13" ht="18" x14ac:dyDescent="0.25">
      <c r="A11" s="1323">
        <v>5</v>
      </c>
      <c r="B11" s="272">
        <v>45047</v>
      </c>
      <c r="C11" s="272">
        <v>45069</v>
      </c>
      <c r="D11" s="308">
        <f>D10-K11</f>
        <v>812000000</v>
      </c>
      <c r="E11" s="344">
        <v>0.02</v>
      </c>
      <c r="F11" s="269">
        <f>+C11-B11+1</f>
        <v>23</v>
      </c>
      <c r="G11" s="350">
        <v>360</v>
      </c>
      <c r="H11" s="308">
        <v>0</v>
      </c>
      <c r="I11" s="267">
        <f t="shared" si="1"/>
        <v>1037555.5555555555</v>
      </c>
      <c r="J11" s="308">
        <f t="shared" si="0"/>
        <v>1037555.5555555555</v>
      </c>
      <c r="K11" s="267"/>
      <c r="L11" s="309">
        <v>0</v>
      </c>
      <c r="M11" s="268">
        <f>M10+J11</f>
        <v>6622000</v>
      </c>
    </row>
    <row r="12" spans="1:13" ht="18.75" thickBot="1" x14ac:dyDescent="0.3">
      <c r="A12" s="1324"/>
      <c r="B12" s="275">
        <v>45070</v>
      </c>
      <c r="C12" s="275">
        <v>45077</v>
      </c>
      <c r="D12" s="337">
        <f>+D11-K12</f>
        <v>770858473</v>
      </c>
      <c r="E12" s="345">
        <v>0.02</v>
      </c>
      <c r="F12" s="276">
        <f>+C12-B12</f>
        <v>7</v>
      </c>
      <c r="G12" s="352">
        <v>360</v>
      </c>
      <c r="H12" s="337">
        <v>0</v>
      </c>
      <c r="I12" s="276">
        <f t="shared" si="1"/>
        <v>299778.29505555553</v>
      </c>
      <c r="J12" s="310">
        <f t="shared" si="0"/>
        <v>299778.29505555553</v>
      </c>
      <c r="K12" s="339">
        <v>41141527</v>
      </c>
      <c r="L12" s="311">
        <v>0</v>
      </c>
      <c r="M12" s="277">
        <f>M11+J12</f>
        <v>6921778.2950555552</v>
      </c>
    </row>
    <row r="13" spans="1:13" ht="19.5" customHeight="1" x14ac:dyDescent="0.25">
      <c r="A13" s="1329">
        <v>6</v>
      </c>
      <c r="B13" s="261">
        <v>45078</v>
      </c>
      <c r="C13" s="261">
        <v>45106</v>
      </c>
      <c r="D13" s="305">
        <f>+D12-K13</f>
        <v>770858473</v>
      </c>
      <c r="E13" s="346">
        <v>0.02</v>
      </c>
      <c r="F13" s="298">
        <f>+C13-B13+1</f>
        <v>29</v>
      </c>
      <c r="G13" s="349">
        <v>360</v>
      </c>
      <c r="H13" s="305">
        <v>0</v>
      </c>
      <c r="I13" s="262">
        <f t="shared" si="1"/>
        <v>1241938.6509444446</v>
      </c>
      <c r="J13" s="305">
        <f t="shared" si="0"/>
        <v>1241938.6509444446</v>
      </c>
      <c r="K13" s="262"/>
      <c r="L13" s="306">
        <v>0</v>
      </c>
      <c r="M13" s="264">
        <f>M12+J13</f>
        <v>8163716.9459999995</v>
      </c>
    </row>
    <row r="14" spans="1:13" ht="18.75" thickBot="1" x14ac:dyDescent="0.3">
      <c r="A14" s="1330"/>
      <c r="B14" s="279">
        <v>45107</v>
      </c>
      <c r="C14" s="288">
        <v>45107</v>
      </c>
      <c r="D14" s="312">
        <f>+D13-K14</f>
        <v>770858473</v>
      </c>
      <c r="E14" s="343">
        <v>0.02</v>
      </c>
      <c r="F14" s="278">
        <f>+C14-B14+1</f>
        <v>1</v>
      </c>
      <c r="G14" s="351">
        <v>360</v>
      </c>
      <c r="H14" s="336">
        <v>36000000</v>
      </c>
      <c r="I14" s="278">
        <f t="shared" si="1"/>
        <v>42825.470722222228</v>
      </c>
      <c r="J14" s="312">
        <f t="shared" si="0"/>
        <v>36042825.470722221</v>
      </c>
      <c r="K14" s="278"/>
      <c r="L14" s="313">
        <v>0</v>
      </c>
      <c r="M14" s="281">
        <f>M13+J14-K12</f>
        <v>3065015.4167222232</v>
      </c>
    </row>
    <row r="15" spans="1:13" ht="18.75" thickBot="1" x14ac:dyDescent="0.3">
      <c r="A15" s="326">
        <v>7</v>
      </c>
      <c r="B15" s="279">
        <v>45108</v>
      </c>
      <c r="C15" s="279">
        <v>45138</v>
      </c>
      <c r="D15" s="312">
        <f>+D13-K15</f>
        <v>770858473</v>
      </c>
      <c r="E15" s="343">
        <v>0.02</v>
      </c>
      <c r="F15" s="295">
        <f>+C15-B15</f>
        <v>30</v>
      </c>
      <c r="G15" s="351">
        <v>360</v>
      </c>
      <c r="H15" s="312">
        <v>0</v>
      </c>
      <c r="I15" s="278">
        <f t="shared" si="1"/>
        <v>1284764.1216666666</v>
      </c>
      <c r="J15" s="312">
        <f t="shared" si="0"/>
        <v>1284764.1216666666</v>
      </c>
      <c r="K15" s="278"/>
      <c r="L15" s="313">
        <v>0</v>
      </c>
      <c r="M15" s="281">
        <f>M14+J15</f>
        <v>4349779.5383888893</v>
      </c>
    </row>
    <row r="16" spans="1:13" ht="18" x14ac:dyDescent="0.25">
      <c r="A16" s="1328">
        <v>8</v>
      </c>
      <c r="B16" s="272">
        <v>45139</v>
      </c>
      <c r="C16" s="272">
        <v>45167</v>
      </c>
      <c r="D16" s="308">
        <f t="shared" ref="D16:D21" si="2">+D15-K16</f>
        <v>770858473</v>
      </c>
      <c r="E16" s="344">
        <v>0.02</v>
      </c>
      <c r="F16" s="296">
        <f>+C16-B16</f>
        <v>28</v>
      </c>
      <c r="G16" s="350">
        <v>360</v>
      </c>
      <c r="H16" s="308">
        <v>0</v>
      </c>
      <c r="I16" s="267">
        <f t="shared" si="1"/>
        <v>1199113.1802222221</v>
      </c>
      <c r="J16" s="308">
        <f t="shared" si="0"/>
        <v>1199113.1802222221</v>
      </c>
      <c r="K16" s="267"/>
      <c r="L16" s="309">
        <v>0</v>
      </c>
      <c r="M16" s="268">
        <f>M15+J16</f>
        <v>5548892.7186111119</v>
      </c>
    </row>
    <row r="17" spans="1:13" ht="18.75" thickBot="1" x14ac:dyDescent="0.3">
      <c r="A17" s="1324"/>
      <c r="B17" s="279">
        <v>45168</v>
      </c>
      <c r="C17" s="279">
        <v>45169</v>
      </c>
      <c r="D17" s="312">
        <f t="shared" si="2"/>
        <v>758858473</v>
      </c>
      <c r="E17" s="343">
        <v>0.02</v>
      </c>
      <c r="F17" s="297">
        <f t="shared" ref="F17:F22" si="3">+C17-B17+1</f>
        <v>2</v>
      </c>
      <c r="G17" s="351">
        <v>360</v>
      </c>
      <c r="H17" s="312">
        <v>0</v>
      </c>
      <c r="I17" s="274">
        <f t="shared" si="1"/>
        <v>84317.608111111113</v>
      </c>
      <c r="J17" s="300">
        <f>+H17+I17</f>
        <v>84317.608111111113</v>
      </c>
      <c r="K17" s="282">
        <v>12000000</v>
      </c>
      <c r="L17" s="307">
        <v>0</v>
      </c>
      <c r="M17" s="281">
        <f>M16+J17</f>
        <v>5633210.3267222233</v>
      </c>
    </row>
    <row r="18" spans="1:13" ht="18.75" thickBot="1" x14ac:dyDescent="0.3">
      <c r="A18" s="1328">
        <v>9</v>
      </c>
      <c r="B18" s="261">
        <v>45170</v>
      </c>
      <c r="C18" s="261">
        <v>45174</v>
      </c>
      <c r="D18" s="305">
        <f t="shared" si="2"/>
        <v>758858473</v>
      </c>
      <c r="E18" s="346">
        <v>0.02</v>
      </c>
      <c r="F18" s="298">
        <f t="shared" si="3"/>
        <v>5</v>
      </c>
      <c r="G18" s="349">
        <v>360</v>
      </c>
      <c r="H18" s="305">
        <v>0</v>
      </c>
      <c r="I18" s="262">
        <f t="shared" si="1"/>
        <v>210794.0202777778</v>
      </c>
      <c r="J18" s="305">
        <f>H18+I18</f>
        <v>210794.0202777778</v>
      </c>
      <c r="K18" s="134"/>
      <c r="L18" s="306">
        <v>0</v>
      </c>
      <c r="M18" s="264">
        <f>M17+J18</f>
        <v>5844004.347000001</v>
      </c>
    </row>
    <row r="19" spans="1:13" ht="18.75" thickBot="1" x14ac:dyDescent="0.3">
      <c r="A19" s="1323"/>
      <c r="B19" s="261">
        <v>45175</v>
      </c>
      <c r="C19" s="261">
        <v>45175</v>
      </c>
      <c r="D19" s="308">
        <f t="shared" si="2"/>
        <v>751000000</v>
      </c>
      <c r="E19" s="344">
        <v>0.02</v>
      </c>
      <c r="F19" s="299">
        <f t="shared" si="3"/>
        <v>1</v>
      </c>
      <c r="G19" s="350">
        <v>360</v>
      </c>
      <c r="H19" s="308">
        <v>0</v>
      </c>
      <c r="I19" s="266">
        <f t="shared" si="1"/>
        <v>41722.222222222219</v>
      </c>
      <c r="J19" s="314">
        <f>+I19+H19</f>
        <v>41722.222222222219</v>
      </c>
      <c r="K19" s="271">
        <v>7858473</v>
      </c>
      <c r="L19" s="151">
        <v>0</v>
      </c>
      <c r="M19" s="268">
        <f>M18+J19</f>
        <v>5885726.569222223</v>
      </c>
    </row>
    <row r="20" spans="1:13" ht="18.75" thickBot="1" x14ac:dyDescent="0.3">
      <c r="A20" s="1323"/>
      <c r="B20" s="261">
        <v>45176</v>
      </c>
      <c r="C20" s="261">
        <v>45198</v>
      </c>
      <c r="D20" s="308">
        <f t="shared" si="2"/>
        <v>751000000</v>
      </c>
      <c r="E20" s="344">
        <v>0.02</v>
      </c>
      <c r="F20" s="299">
        <f t="shared" si="3"/>
        <v>23</v>
      </c>
      <c r="G20" s="350">
        <v>360</v>
      </c>
      <c r="H20" s="308">
        <v>0</v>
      </c>
      <c r="I20" s="266">
        <f t="shared" si="1"/>
        <v>959611.11111111112</v>
      </c>
      <c r="J20" s="314">
        <f>+I20+H20</f>
        <v>959611.11111111112</v>
      </c>
      <c r="K20" s="151"/>
      <c r="L20" s="503">
        <v>11293332</v>
      </c>
      <c r="M20" s="268">
        <f>M19+J20-L20</f>
        <v>-4447994.319666666</v>
      </c>
    </row>
    <row r="21" spans="1:13" ht="18.75" thickBot="1" x14ac:dyDescent="0.3">
      <c r="A21" s="1324"/>
      <c r="B21" s="283">
        <v>45199</v>
      </c>
      <c r="C21" s="353">
        <v>45199</v>
      </c>
      <c r="D21" s="312">
        <f t="shared" si="2"/>
        <v>751000000</v>
      </c>
      <c r="E21" s="343">
        <v>0.02</v>
      </c>
      <c r="F21" s="297">
        <f t="shared" si="3"/>
        <v>1</v>
      </c>
      <c r="G21" s="351">
        <v>360</v>
      </c>
      <c r="H21" s="338">
        <v>25000000</v>
      </c>
      <c r="I21" s="274">
        <f t="shared" si="1"/>
        <v>41722.222222222219</v>
      </c>
      <c r="J21" s="300">
        <f>+I21+H21</f>
        <v>25041722.222222224</v>
      </c>
      <c r="K21" s="307"/>
      <c r="L21" s="152">
        <v>0</v>
      </c>
      <c r="M21" s="281">
        <f>M20+J21-K17-K19</f>
        <v>735254.90255555883</v>
      </c>
    </row>
    <row r="22" spans="1:13" ht="18" x14ac:dyDescent="0.25">
      <c r="A22" s="1328">
        <v>10</v>
      </c>
      <c r="B22" s="261">
        <v>45200</v>
      </c>
      <c r="C22" s="261">
        <v>45218</v>
      </c>
      <c r="D22" s="305">
        <f>+D20-K22</f>
        <v>751000000</v>
      </c>
      <c r="E22" s="346">
        <v>0.02</v>
      </c>
      <c r="F22" s="298">
        <f t="shared" si="3"/>
        <v>19</v>
      </c>
      <c r="G22" s="349">
        <v>360</v>
      </c>
      <c r="H22" s="305">
        <v>0</v>
      </c>
      <c r="I22" s="262">
        <f t="shared" si="1"/>
        <v>792722.22222222225</v>
      </c>
      <c r="J22" s="305">
        <f>H22+I22</f>
        <v>792722.22222222225</v>
      </c>
      <c r="K22" s="306"/>
      <c r="L22" s="134">
        <v>0</v>
      </c>
      <c r="M22" s="264">
        <f t="shared" ref="M22:M28" si="4">M21+J22</f>
        <v>1527977.1247777811</v>
      </c>
    </row>
    <row r="23" spans="1:13" ht="18" x14ac:dyDescent="0.25">
      <c r="A23" s="1323"/>
      <c r="B23" s="265">
        <v>45219</v>
      </c>
      <c r="C23" s="265">
        <v>45223</v>
      </c>
      <c r="D23" s="308">
        <f t="shared" ref="D23:D28" si="5">+D22-K23</f>
        <v>749000000</v>
      </c>
      <c r="E23" s="344">
        <v>0.02</v>
      </c>
      <c r="F23" s="299">
        <f>+C23-B23</f>
        <v>4</v>
      </c>
      <c r="G23" s="350">
        <v>360</v>
      </c>
      <c r="H23" s="308">
        <v>0</v>
      </c>
      <c r="I23" s="266">
        <f t="shared" si="1"/>
        <v>166444.44444444444</v>
      </c>
      <c r="J23" s="314">
        <f>+H23+I23</f>
        <v>166444.44444444444</v>
      </c>
      <c r="K23" s="271">
        <v>2000000</v>
      </c>
      <c r="L23" s="133">
        <v>0</v>
      </c>
      <c r="M23" s="268">
        <f t="shared" si="4"/>
        <v>1694421.5692222256</v>
      </c>
    </row>
    <row r="24" spans="1:13" ht="18.75" thickBot="1" x14ac:dyDescent="0.3">
      <c r="A24" s="1324"/>
      <c r="B24" s="279">
        <v>45224</v>
      </c>
      <c r="C24" s="279">
        <v>45230</v>
      </c>
      <c r="D24" s="312">
        <f t="shared" si="5"/>
        <v>747000000</v>
      </c>
      <c r="E24" s="343">
        <v>0.02</v>
      </c>
      <c r="F24" s="297">
        <f t="shared" ref="F24:F29" si="6">+C24-B24+1</f>
        <v>7</v>
      </c>
      <c r="G24" s="351">
        <v>360</v>
      </c>
      <c r="H24" s="312">
        <v>0</v>
      </c>
      <c r="I24" s="274">
        <f t="shared" si="1"/>
        <v>290500</v>
      </c>
      <c r="J24" s="300">
        <f>+H24+I24</f>
        <v>290500</v>
      </c>
      <c r="K24" s="282">
        <v>2000000</v>
      </c>
      <c r="L24" s="152">
        <v>0</v>
      </c>
      <c r="M24" s="281">
        <f t="shared" si="4"/>
        <v>1984921.5692222256</v>
      </c>
    </row>
    <row r="25" spans="1:13" ht="18" x14ac:dyDescent="0.25">
      <c r="A25" s="1328">
        <v>11</v>
      </c>
      <c r="B25" s="261">
        <v>45231</v>
      </c>
      <c r="C25" s="261">
        <v>45231</v>
      </c>
      <c r="D25" s="305">
        <f t="shared" si="5"/>
        <v>747000000</v>
      </c>
      <c r="E25" s="346">
        <v>0.02</v>
      </c>
      <c r="F25" s="298">
        <f t="shared" si="6"/>
        <v>1</v>
      </c>
      <c r="G25" s="349">
        <v>360</v>
      </c>
      <c r="H25" s="305">
        <v>0</v>
      </c>
      <c r="I25" s="262">
        <f t="shared" si="1"/>
        <v>41500</v>
      </c>
      <c r="J25" s="305">
        <f>+H25+I25</f>
        <v>41500</v>
      </c>
      <c r="K25" s="262"/>
      <c r="L25" s="134">
        <v>0</v>
      </c>
      <c r="M25" s="264">
        <f t="shared" si="4"/>
        <v>2026421.5692222256</v>
      </c>
    </row>
    <row r="26" spans="1:13" ht="18" x14ac:dyDescent="0.25">
      <c r="A26" s="1323"/>
      <c r="B26" s="272">
        <v>45232</v>
      </c>
      <c r="C26" s="272">
        <v>45239</v>
      </c>
      <c r="D26" s="308">
        <f t="shared" si="5"/>
        <v>745000000</v>
      </c>
      <c r="E26" s="344">
        <v>0.02</v>
      </c>
      <c r="F26" s="299">
        <f t="shared" si="6"/>
        <v>8</v>
      </c>
      <c r="G26" s="350">
        <v>360</v>
      </c>
      <c r="H26" s="308">
        <v>0</v>
      </c>
      <c r="I26" s="266">
        <f t="shared" si="1"/>
        <v>331111.11111111112</v>
      </c>
      <c r="J26" s="314">
        <f>+H26+I26</f>
        <v>331111.11111111112</v>
      </c>
      <c r="K26" s="271">
        <v>2000000</v>
      </c>
      <c r="L26" s="133">
        <v>0</v>
      </c>
      <c r="M26" s="268">
        <f t="shared" si="4"/>
        <v>2357532.6803333368</v>
      </c>
    </row>
    <row r="27" spans="1:13" ht="18" x14ac:dyDescent="0.25">
      <c r="A27" s="1323"/>
      <c r="B27" s="272">
        <v>45240</v>
      </c>
      <c r="C27" s="272">
        <v>45249</v>
      </c>
      <c r="D27" s="308">
        <f t="shared" si="5"/>
        <v>743000000</v>
      </c>
      <c r="E27" s="344">
        <v>0.02</v>
      </c>
      <c r="F27" s="299">
        <f t="shared" si="6"/>
        <v>10</v>
      </c>
      <c r="G27" s="350">
        <v>360</v>
      </c>
      <c r="H27" s="308">
        <v>0</v>
      </c>
      <c r="I27" s="266">
        <f t="shared" si="1"/>
        <v>412777.77777777775</v>
      </c>
      <c r="J27" s="314">
        <f>+H27+I27</f>
        <v>412777.77777777775</v>
      </c>
      <c r="K27" s="273">
        <v>2000000</v>
      </c>
      <c r="L27" s="133">
        <v>0</v>
      </c>
      <c r="M27" s="268">
        <f t="shared" si="4"/>
        <v>2770310.4581111148</v>
      </c>
    </row>
    <row r="28" spans="1:13" ht="18" x14ac:dyDescent="0.25">
      <c r="A28" s="1323"/>
      <c r="B28" s="272">
        <v>45250</v>
      </c>
      <c r="C28" s="272">
        <v>45259</v>
      </c>
      <c r="D28" s="308">
        <f t="shared" si="5"/>
        <v>741000000</v>
      </c>
      <c r="E28" s="344">
        <v>0.02</v>
      </c>
      <c r="F28" s="299">
        <f t="shared" si="6"/>
        <v>10</v>
      </c>
      <c r="G28" s="350">
        <v>360</v>
      </c>
      <c r="H28" s="308">
        <v>0</v>
      </c>
      <c r="I28" s="266">
        <f t="shared" si="1"/>
        <v>411666.66666666669</v>
      </c>
      <c r="J28" s="314">
        <f>H28+I28</f>
        <v>411666.66666666669</v>
      </c>
      <c r="K28" s="273">
        <v>2000000</v>
      </c>
      <c r="L28" s="133">
        <v>0</v>
      </c>
      <c r="M28" s="268">
        <f t="shared" si="4"/>
        <v>3181977.1247777813</v>
      </c>
    </row>
    <row r="29" spans="1:13" ht="18.75" thickBot="1" x14ac:dyDescent="0.3">
      <c r="A29" s="1324"/>
      <c r="B29" s="279">
        <v>45260</v>
      </c>
      <c r="C29" s="288">
        <v>45260</v>
      </c>
      <c r="D29" s="312">
        <f>+D28</f>
        <v>741000000</v>
      </c>
      <c r="E29" s="343">
        <v>0.02</v>
      </c>
      <c r="F29" s="297">
        <f t="shared" si="6"/>
        <v>1</v>
      </c>
      <c r="G29" s="351">
        <v>360</v>
      </c>
      <c r="H29" s="336">
        <v>10000000</v>
      </c>
      <c r="I29" s="274">
        <f t="shared" si="1"/>
        <v>41166.666666666664</v>
      </c>
      <c r="J29" s="300">
        <f>H29+I29</f>
        <v>10041166.666666666</v>
      </c>
      <c r="K29" s="274"/>
      <c r="L29" s="152">
        <v>0</v>
      </c>
      <c r="M29" s="281">
        <f>M28+J29-K23-K24-K26-K27-K28</f>
        <v>3223143.7914444469</v>
      </c>
    </row>
    <row r="30" spans="1:13" ht="19.5" customHeight="1" thickBot="1" x14ac:dyDescent="0.3">
      <c r="A30" s="270">
        <v>12</v>
      </c>
      <c r="B30" s="279">
        <v>45261</v>
      </c>
      <c r="C30" s="279">
        <v>45291</v>
      </c>
      <c r="D30" s="308">
        <f>+D28-K30</f>
        <v>741000000</v>
      </c>
      <c r="E30" s="343">
        <v>0.02</v>
      </c>
      <c r="F30" s="295">
        <f>+C30-B30</f>
        <v>30</v>
      </c>
      <c r="G30" s="351">
        <v>360</v>
      </c>
      <c r="H30" s="308"/>
      <c r="I30" s="278">
        <f t="shared" si="1"/>
        <v>1235000</v>
      </c>
      <c r="J30" s="308">
        <f>H30+I30</f>
        <v>1235000</v>
      </c>
      <c r="K30" s="278"/>
      <c r="L30" s="528">
        <v>4458142.79</v>
      </c>
      <c r="M30" s="527">
        <f>M29+J30</f>
        <v>4458143.7914444469</v>
      </c>
    </row>
    <row r="31" spans="1:13" ht="26.25" customHeight="1" thickBot="1" x14ac:dyDescent="0.3">
      <c r="A31" s="1319" t="s">
        <v>83</v>
      </c>
      <c r="B31" s="1320"/>
      <c r="C31" s="1321"/>
      <c r="D31" s="117" t="s">
        <v>30</v>
      </c>
      <c r="E31" s="111" t="s">
        <v>30</v>
      </c>
      <c r="F31" s="118">
        <f>SUM(F5:F30)</f>
        <v>360</v>
      </c>
      <c r="G31" s="119"/>
      <c r="H31" s="292">
        <f>SUM(H5:H30)</f>
        <v>106000000</v>
      </c>
      <c r="I31" s="315">
        <f>SUM(I5:I30)</f>
        <v>15751475.791444443</v>
      </c>
      <c r="J31" s="316">
        <f>SUM(J5:J30)</f>
        <v>121751475.79144445</v>
      </c>
      <c r="K31" s="293">
        <f>SUM(K5:K30)</f>
        <v>106000000</v>
      </c>
      <c r="L31" s="294">
        <f>+L20+4458142.79</f>
        <v>15751474.789999999</v>
      </c>
      <c r="M31" s="317">
        <f>+M30</f>
        <v>4458143.7914444469</v>
      </c>
    </row>
    <row r="32" spans="1:13" ht="18.75" x14ac:dyDescent="0.25">
      <c r="H32" s="228"/>
      <c r="K32" s="256"/>
    </row>
    <row r="33" spans="4:13" ht="18.75" thickBot="1" x14ac:dyDescent="0.3">
      <c r="D33" s="21" t="s">
        <v>16</v>
      </c>
      <c r="E33" s="7"/>
      <c r="F33" s="4"/>
      <c r="G33" s="2"/>
      <c r="H33" s="1322"/>
      <c r="I33" s="1322"/>
      <c r="J33" s="228">
        <f>+I31-L31</f>
        <v>1.0014444440603256</v>
      </c>
    </row>
    <row r="34" spans="4:13" ht="21" thickBot="1" x14ac:dyDescent="0.3">
      <c r="D34" s="4" t="s">
        <v>45</v>
      </c>
      <c r="E34" s="1"/>
      <c r="F34" s="5"/>
      <c r="G34" s="2"/>
      <c r="H34" s="115"/>
      <c r="I34" s="6"/>
      <c r="J34" s="260">
        <v>16940000</v>
      </c>
      <c r="K34" s="245"/>
      <c r="L34" s="245"/>
      <c r="M34" s="245"/>
    </row>
    <row r="35" spans="4:13" ht="23.25" thickBot="1" x14ac:dyDescent="0.35">
      <c r="D35" s="4" t="s">
        <v>46</v>
      </c>
      <c r="F35" s="8"/>
      <c r="G35" s="8"/>
      <c r="H35" s="233"/>
      <c r="I35" s="8"/>
      <c r="J35" s="260">
        <f>+J34-I31</f>
        <v>1188524.2085555568</v>
      </c>
      <c r="K35" s="245" t="s">
        <v>115</v>
      </c>
      <c r="L35" s="245"/>
      <c r="M35" s="245"/>
    </row>
    <row r="36" spans="4:13" x14ac:dyDescent="0.25">
      <c r="H36" s="228"/>
      <c r="K36" s="245"/>
      <c r="L36" s="245"/>
      <c r="M36" s="245"/>
    </row>
  </sheetData>
  <mergeCells count="20">
    <mergeCell ref="A1:M1"/>
    <mergeCell ref="A3:A4"/>
    <mergeCell ref="B3:C4"/>
    <mergeCell ref="D3:D4"/>
    <mergeCell ref="E3:E4"/>
    <mergeCell ref="F3:F4"/>
    <mergeCell ref="G3:G4"/>
    <mergeCell ref="H3:J3"/>
    <mergeCell ref="K3:K4"/>
    <mergeCell ref="L3:L4"/>
    <mergeCell ref="M3:M4"/>
    <mergeCell ref="A31:C31"/>
    <mergeCell ref="H33:I33"/>
    <mergeCell ref="A11:A12"/>
    <mergeCell ref="A7:A9"/>
    <mergeCell ref="A16:A17"/>
    <mergeCell ref="A18:A21"/>
    <mergeCell ref="A22:A24"/>
    <mergeCell ref="A25:A29"/>
    <mergeCell ref="A13:A14"/>
  </mergeCells>
  <pageMargins left="0.15748031496062992" right="0.15748031496062992" top="0.27559055118110237" bottom="0.39370078740157483" header="0.31496062992125984" footer="0.31496062992125984"/>
  <pageSetup paperSize="9" scale="6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6"/>
  <dimension ref="A1:P20"/>
  <sheetViews>
    <sheetView zoomScaleNormal="100" zoomScaleSheetLayoutView="70" zoomScalePageLayoutView="60" workbookViewId="0">
      <selection activeCell="K27" sqref="K27"/>
    </sheetView>
  </sheetViews>
  <sheetFormatPr defaultRowHeight="14.25" x14ac:dyDescent="0.2"/>
  <cols>
    <col min="1" max="1" width="4" style="105" customWidth="1"/>
    <col min="2" max="2" width="42.5703125" style="161" customWidth="1"/>
    <col min="3" max="3" width="21" style="105" customWidth="1"/>
    <col min="4" max="4" width="23.140625" style="105" hidden="1" customWidth="1"/>
    <col min="5" max="5" width="20.5703125" style="105" hidden="1" customWidth="1"/>
    <col min="6" max="6" width="18.42578125" style="105" hidden="1" customWidth="1"/>
    <col min="7" max="7" width="22.140625" style="105" customWidth="1"/>
    <col min="8" max="8" width="18.42578125" style="105" customWidth="1"/>
    <col min="9" max="9" width="18" style="105" customWidth="1"/>
    <col min="10" max="10" width="21.7109375" style="105" customWidth="1"/>
    <col min="11" max="11" width="18.5703125" style="105" customWidth="1"/>
    <col min="12" max="12" width="18.28515625" style="105" customWidth="1"/>
    <col min="13" max="13" width="21.28515625" style="105" customWidth="1"/>
    <col min="14" max="14" width="18.140625" style="105" customWidth="1"/>
    <col min="15" max="15" width="18" style="105" customWidth="1"/>
    <col min="16" max="16" width="21.85546875" style="105" customWidth="1"/>
    <col min="17" max="16384" width="9.140625" style="105"/>
  </cols>
  <sheetData>
    <row r="1" spans="1:16" s="160" customFormat="1" ht="68.25" customHeight="1" x14ac:dyDescent="0.25">
      <c r="A1" s="1337" t="s">
        <v>149</v>
      </c>
      <c r="B1" s="1338"/>
      <c r="C1" s="1338"/>
      <c r="D1" s="1338"/>
      <c r="E1" s="1338"/>
      <c r="F1" s="1338"/>
      <c r="G1" s="1338"/>
      <c r="H1" s="1338"/>
      <c r="I1" s="1338"/>
      <c r="J1" s="1338"/>
      <c r="K1" s="1338"/>
      <c r="L1" s="1338"/>
      <c r="M1" s="1338"/>
      <c r="N1" s="1338"/>
      <c r="O1" s="1338"/>
      <c r="P1" s="1338"/>
    </row>
    <row r="2" spans="1:16" ht="21.75" customHeight="1" thickBot="1" x14ac:dyDescent="0.25">
      <c r="A2" s="1339" t="s">
        <v>91</v>
      </c>
      <c r="B2" s="1340"/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  <c r="O2" s="1340"/>
      <c r="P2" s="1340"/>
    </row>
    <row r="3" spans="1:16" ht="50.25" customHeight="1" thickBot="1" x14ac:dyDescent="0.25">
      <c r="A3" s="162" t="s">
        <v>15</v>
      </c>
      <c r="B3" s="162" t="s">
        <v>0</v>
      </c>
      <c r="C3" s="162" t="s">
        <v>1</v>
      </c>
      <c r="D3" s="162" t="s">
        <v>220</v>
      </c>
      <c r="E3" s="162" t="s">
        <v>98</v>
      </c>
      <c r="F3" s="162" t="s">
        <v>95</v>
      </c>
      <c r="G3" s="162" t="s">
        <v>221</v>
      </c>
      <c r="H3" s="162" t="s">
        <v>99</v>
      </c>
      <c r="I3" s="162" t="s">
        <v>100</v>
      </c>
      <c r="J3" s="162" t="s">
        <v>222</v>
      </c>
      <c r="K3" s="162" t="s">
        <v>111</v>
      </c>
      <c r="L3" s="162" t="s">
        <v>112</v>
      </c>
      <c r="M3" s="162" t="s">
        <v>223</v>
      </c>
      <c r="N3" s="162" t="s">
        <v>120</v>
      </c>
      <c r="O3" s="162" t="s">
        <v>121</v>
      </c>
      <c r="P3" s="162" t="s">
        <v>224</v>
      </c>
    </row>
    <row r="4" spans="1:16" ht="37.5" customHeight="1" thickBot="1" x14ac:dyDescent="0.25">
      <c r="A4" s="163">
        <v>1</v>
      </c>
      <c r="B4" s="164" t="s">
        <v>5</v>
      </c>
      <c r="C4" s="166" t="s">
        <v>6</v>
      </c>
      <c r="D4" s="421">
        <v>477351.42060000001</v>
      </c>
      <c r="E4" s="333">
        <v>323.5</v>
      </c>
      <c r="F4" s="334">
        <v>0</v>
      </c>
      <c r="G4" s="333">
        <f>D4-E4</f>
        <v>477027.92060000001</v>
      </c>
      <c r="H4" s="420">
        <v>1000</v>
      </c>
      <c r="I4" s="420">
        <v>0</v>
      </c>
      <c r="J4" s="420">
        <f>+G4-H4</f>
        <v>476027.92060000001</v>
      </c>
      <c r="K4" s="335">
        <v>0</v>
      </c>
      <c r="L4" s="335">
        <v>0</v>
      </c>
      <c r="M4" s="335">
        <f>+J4-K4</f>
        <v>476027.92060000001</v>
      </c>
      <c r="N4" s="335">
        <v>0</v>
      </c>
      <c r="O4" s="335">
        <v>0</v>
      </c>
      <c r="P4" s="335">
        <f>+M4-N4</f>
        <v>476027.92060000001</v>
      </c>
    </row>
    <row r="5" spans="1:16" ht="36.75" customHeight="1" thickBot="1" x14ac:dyDescent="0.25">
      <c r="A5" s="163">
        <v>2</v>
      </c>
      <c r="B5" s="164" t="s">
        <v>84</v>
      </c>
      <c r="C5" s="166" t="s">
        <v>8</v>
      </c>
      <c r="D5" s="421">
        <v>2118346.2953900001</v>
      </c>
      <c r="E5" s="333">
        <v>105384.37025000001</v>
      </c>
      <c r="F5" s="333">
        <v>17442.679260000001</v>
      </c>
      <c r="G5" s="333">
        <f>D5-E5</f>
        <v>2012961.9251400002</v>
      </c>
      <c r="H5" s="420">
        <v>143785.81953000001</v>
      </c>
      <c r="I5" s="420">
        <v>20190.256519999999</v>
      </c>
      <c r="J5" s="420">
        <f t="shared" ref="J5:J7" si="0">+G5-H5</f>
        <v>1869176.1056100002</v>
      </c>
      <c r="K5" s="335">
        <v>214000</v>
      </c>
      <c r="L5" s="335">
        <v>0</v>
      </c>
      <c r="M5" s="335">
        <f t="shared" ref="M5:M9" si="1">+J5-K5</f>
        <v>1655176.1056100002</v>
      </c>
      <c r="N5" s="335">
        <v>0</v>
      </c>
      <c r="O5" s="335">
        <v>0</v>
      </c>
      <c r="P5" s="335">
        <f t="shared" ref="P5:P9" si="2">+M5-N5</f>
        <v>1655176.1056100002</v>
      </c>
    </row>
    <row r="6" spans="1:16" ht="37.5" customHeight="1" thickBot="1" x14ac:dyDescent="0.25">
      <c r="A6" s="163">
        <v>3</v>
      </c>
      <c r="B6" s="164" t="s">
        <v>85</v>
      </c>
      <c r="C6" s="166" t="s">
        <v>8</v>
      </c>
      <c r="D6" s="421">
        <v>931301.98450000002</v>
      </c>
      <c r="E6" s="333">
        <v>108761.66575</v>
      </c>
      <c r="F6" s="333">
        <v>17442.679250000001</v>
      </c>
      <c r="G6" s="333">
        <f>D6-E6</f>
        <v>822540.31874999998</v>
      </c>
      <c r="H6" s="420">
        <v>19943.927520000001</v>
      </c>
      <c r="I6" s="420">
        <v>7663.6935199999998</v>
      </c>
      <c r="J6" s="420">
        <f t="shared" si="0"/>
        <v>802596.39122999995</v>
      </c>
      <c r="K6" s="335">
        <v>106400</v>
      </c>
      <c r="L6" s="335">
        <v>0</v>
      </c>
      <c r="M6" s="335">
        <f t="shared" si="1"/>
        <v>696196.39122999995</v>
      </c>
      <c r="N6" s="335">
        <v>0</v>
      </c>
      <c r="O6" s="335">
        <v>0</v>
      </c>
      <c r="P6" s="335">
        <f t="shared" si="2"/>
        <v>696196.39122999995</v>
      </c>
    </row>
    <row r="7" spans="1:16" ht="35.25" customHeight="1" thickBot="1" x14ac:dyDescent="0.25">
      <c r="A7" s="163">
        <v>4</v>
      </c>
      <c r="B7" s="164" t="s">
        <v>19</v>
      </c>
      <c r="C7" s="166" t="s">
        <v>6</v>
      </c>
      <c r="D7" s="333">
        <f>+'Ба Вазир 31.12.23'!H7</f>
        <v>200000</v>
      </c>
      <c r="E7" s="333">
        <v>0</v>
      </c>
      <c r="F7" s="333">
        <v>0</v>
      </c>
      <c r="G7" s="333">
        <f>D7-E7</f>
        <v>200000</v>
      </c>
      <c r="H7" s="420">
        <v>0</v>
      </c>
      <c r="I7" s="420">
        <v>0</v>
      </c>
      <c r="J7" s="420">
        <f t="shared" si="0"/>
        <v>200000</v>
      </c>
      <c r="K7" s="335">
        <v>0</v>
      </c>
      <c r="L7" s="335">
        <v>0</v>
      </c>
      <c r="M7" s="335">
        <f t="shared" si="1"/>
        <v>200000</v>
      </c>
      <c r="N7" s="335">
        <v>0</v>
      </c>
      <c r="O7" s="335">
        <v>0</v>
      </c>
      <c r="P7" s="335">
        <f t="shared" si="2"/>
        <v>200000</v>
      </c>
    </row>
    <row r="8" spans="1:16" ht="39" customHeight="1" thickBot="1" x14ac:dyDescent="0.25">
      <c r="A8" s="163">
        <v>5</v>
      </c>
      <c r="B8" s="165" t="s">
        <v>9</v>
      </c>
      <c r="C8" s="167" t="s">
        <v>10</v>
      </c>
      <c r="D8" s="421">
        <v>99750.374689999997</v>
      </c>
      <c r="E8" s="333">
        <v>399001.49906</v>
      </c>
      <c r="F8" s="333">
        <v>998.50094000000001</v>
      </c>
      <c r="G8" s="333">
        <v>49873.93</v>
      </c>
      <c r="H8" s="333">
        <v>49873.93</v>
      </c>
      <c r="I8" s="333">
        <v>126.07</v>
      </c>
      <c r="J8" s="333">
        <f>+G8-H8</f>
        <v>0</v>
      </c>
      <c r="K8" s="335">
        <v>0</v>
      </c>
      <c r="L8" s="335">
        <v>0</v>
      </c>
      <c r="M8" s="335">
        <f>+J8-K8</f>
        <v>0</v>
      </c>
      <c r="N8" s="335">
        <v>0</v>
      </c>
      <c r="O8" s="335">
        <v>0</v>
      </c>
      <c r="P8" s="335">
        <f>+M8-N8</f>
        <v>0</v>
      </c>
    </row>
    <row r="9" spans="1:16" ht="51.75" customHeight="1" thickBot="1" x14ac:dyDescent="0.25">
      <c r="A9" s="163">
        <v>6</v>
      </c>
      <c r="B9" s="165" t="s">
        <v>13</v>
      </c>
      <c r="C9" s="167" t="s">
        <v>14</v>
      </c>
      <c r="D9" s="333">
        <v>847000</v>
      </c>
      <c r="E9" s="333">
        <v>106000</v>
      </c>
      <c r="F9" s="333">
        <v>15751.47479</v>
      </c>
      <c r="G9" s="334">
        <f>+D9-E9</f>
        <v>741000</v>
      </c>
      <c r="H9" s="420">
        <f>35000+36000</f>
        <v>71000</v>
      </c>
      <c r="I9" s="420">
        <v>168.42972</v>
      </c>
      <c r="J9" s="420">
        <f>+G9-H9</f>
        <v>670000</v>
      </c>
      <c r="K9" s="335">
        <v>106000</v>
      </c>
      <c r="L9" s="335">
        <v>0</v>
      </c>
      <c r="M9" s="335">
        <f t="shared" si="1"/>
        <v>564000</v>
      </c>
      <c r="N9" s="335">
        <v>106000</v>
      </c>
      <c r="O9" s="335">
        <v>0</v>
      </c>
      <c r="P9" s="335">
        <f t="shared" si="2"/>
        <v>458000</v>
      </c>
    </row>
    <row r="10" spans="1:16" ht="34.5" customHeight="1" thickBot="1" x14ac:dyDescent="0.25">
      <c r="A10" s="1335" t="s">
        <v>23</v>
      </c>
      <c r="B10" s="1336"/>
      <c r="C10" s="168" t="s">
        <v>30</v>
      </c>
      <c r="D10" s="332">
        <f>+SUM(D4:D9)</f>
        <v>4673750.0751799997</v>
      </c>
      <c r="E10" s="331">
        <f t="shared" ref="E10:P10" si="3">SUM(E4:E9)</f>
        <v>719471.03506000002</v>
      </c>
      <c r="F10" s="331">
        <f t="shared" si="3"/>
        <v>51635.334240000004</v>
      </c>
      <c r="G10" s="422">
        <f t="shared" si="3"/>
        <v>4303404.094490001</v>
      </c>
      <c r="H10" s="331">
        <f t="shared" si="3"/>
        <v>285603.67705</v>
      </c>
      <c r="I10" s="331">
        <f t="shared" si="3"/>
        <v>28148.44976</v>
      </c>
      <c r="J10" s="525">
        <f t="shared" si="3"/>
        <v>4017800.41744</v>
      </c>
      <c r="K10" s="331">
        <f t="shared" si="3"/>
        <v>426400</v>
      </c>
      <c r="L10" s="331">
        <f t="shared" si="3"/>
        <v>0</v>
      </c>
      <c r="M10" s="331">
        <f t="shared" si="3"/>
        <v>3591400.41744</v>
      </c>
      <c r="N10" s="331">
        <f t="shared" si="3"/>
        <v>106000</v>
      </c>
      <c r="O10" s="331">
        <f t="shared" si="3"/>
        <v>0</v>
      </c>
      <c r="P10" s="331">
        <f t="shared" si="3"/>
        <v>3485400.41744</v>
      </c>
    </row>
    <row r="11" spans="1:16" ht="33.75" customHeight="1" thickBot="1" x14ac:dyDescent="0.25">
      <c r="A11" s="163">
        <v>1</v>
      </c>
      <c r="B11" s="164" t="s">
        <v>156</v>
      </c>
      <c r="C11" s="544" t="s">
        <v>157</v>
      </c>
      <c r="D11" s="524">
        <f>+'Ба Вазир 31.12.23'!H14</f>
        <v>0</v>
      </c>
      <c r="E11" s="524">
        <v>2011.153</v>
      </c>
      <c r="F11" s="524">
        <v>0</v>
      </c>
      <c r="G11" s="333">
        <v>0</v>
      </c>
      <c r="H11" s="420">
        <f>20000+15000+15000</f>
        <v>50000</v>
      </c>
      <c r="I11" s="420">
        <v>2000</v>
      </c>
      <c r="J11" s="420">
        <v>50000</v>
      </c>
      <c r="K11" s="335">
        <v>0</v>
      </c>
      <c r="L11" s="335">
        <v>0</v>
      </c>
      <c r="M11" s="335">
        <v>0</v>
      </c>
      <c r="N11" s="335">
        <v>0</v>
      </c>
      <c r="O11" s="335">
        <v>0</v>
      </c>
      <c r="P11" s="335">
        <f t="shared" ref="P11" si="4">+M11-N11</f>
        <v>0</v>
      </c>
    </row>
    <row r="12" spans="1:16" ht="32.25" customHeight="1" thickBot="1" x14ac:dyDescent="0.25">
      <c r="A12" s="163">
        <v>2</v>
      </c>
      <c r="B12" s="164" t="s">
        <v>159</v>
      </c>
      <c r="C12" s="544" t="s">
        <v>157</v>
      </c>
      <c r="D12" s="524"/>
      <c r="E12" s="524"/>
      <c r="F12" s="524"/>
      <c r="G12" s="333">
        <v>0</v>
      </c>
      <c r="H12" s="420"/>
      <c r="I12" s="420"/>
      <c r="J12" s="705">
        <v>30000</v>
      </c>
      <c r="K12" s="335"/>
      <c r="L12" s="335"/>
      <c r="M12" s="335"/>
      <c r="N12" s="335"/>
      <c r="O12" s="335"/>
      <c r="P12" s="335"/>
    </row>
    <row r="13" spans="1:16" ht="33" customHeight="1" thickBot="1" x14ac:dyDescent="0.25">
      <c r="A13" s="163">
        <v>3</v>
      </c>
      <c r="B13" s="165" t="s">
        <v>161</v>
      </c>
      <c r="C13" s="543" t="s">
        <v>157</v>
      </c>
      <c r="D13" s="524"/>
      <c r="E13" s="524"/>
      <c r="F13" s="524"/>
      <c r="G13" s="333">
        <v>0</v>
      </c>
      <c r="H13" s="420"/>
      <c r="I13" s="420">
        <v>600</v>
      </c>
      <c r="J13" s="705">
        <v>20000</v>
      </c>
      <c r="K13" s="335"/>
      <c r="L13" s="335"/>
      <c r="M13" s="335"/>
      <c r="N13" s="335"/>
      <c r="O13" s="335"/>
      <c r="P13" s="335"/>
    </row>
    <row r="14" spans="1:16" ht="32.25" thickBot="1" x14ac:dyDescent="0.25">
      <c r="A14" s="163">
        <v>4</v>
      </c>
      <c r="B14" s="165" t="s">
        <v>156</v>
      </c>
      <c r="C14" s="544" t="s">
        <v>157</v>
      </c>
      <c r="G14" s="333">
        <v>0</v>
      </c>
      <c r="H14" s="420">
        <v>0</v>
      </c>
      <c r="I14" s="420">
        <v>0</v>
      </c>
      <c r="J14" s="705">
        <v>29150.436089999999</v>
      </c>
      <c r="K14" s="335">
        <v>0</v>
      </c>
      <c r="L14" s="335">
        <v>0</v>
      </c>
      <c r="M14" s="335">
        <v>0</v>
      </c>
      <c r="N14" s="335">
        <v>0</v>
      </c>
      <c r="O14" s="335">
        <v>0</v>
      </c>
      <c r="P14" s="335">
        <f t="shared" ref="P14" si="5">+M14-N14</f>
        <v>0</v>
      </c>
    </row>
    <row r="15" spans="1:16" ht="32.25" thickBot="1" x14ac:dyDescent="0.25">
      <c r="A15" s="163">
        <v>5</v>
      </c>
      <c r="B15" s="165" t="s">
        <v>156</v>
      </c>
      <c r="C15" s="544" t="s">
        <v>157</v>
      </c>
      <c r="G15" s="333">
        <v>0</v>
      </c>
      <c r="H15" s="420"/>
      <c r="I15" s="420"/>
      <c r="J15" s="705">
        <v>48631.515379999903</v>
      </c>
      <c r="K15" s="335"/>
      <c r="L15" s="335"/>
      <c r="M15" s="335"/>
      <c r="N15" s="335"/>
      <c r="O15" s="335"/>
      <c r="P15" s="335"/>
    </row>
    <row r="16" spans="1:16" ht="32.25" thickBot="1" x14ac:dyDescent="0.25">
      <c r="A16" s="163">
        <v>6</v>
      </c>
      <c r="B16" s="165" t="s">
        <v>156</v>
      </c>
      <c r="C16" s="544" t="s">
        <v>157</v>
      </c>
      <c r="G16" s="333">
        <v>0</v>
      </c>
      <c r="H16" s="420"/>
      <c r="I16" s="420"/>
      <c r="J16" s="705">
        <v>48370.777249999999</v>
      </c>
      <c r="K16" s="335"/>
      <c r="L16" s="335"/>
      <c r="M16" s="335"/>
      <c r="N16" s="335"/>
      <c r="O16" s="335"/>
      <c r="P16" s="335"/>
    </row>
    <row r="17" spans="1:16" ht="32.25" thickBot="1" x14ac:dyDescent="0.25">
      <c r="A17" s="163">
        <v>7</v>
      </c>
      <c r="B17" s="165" t="s">
        <v>156</v>
      </c>
      <c r="C17" s="544" t="s">
        <v>157</v>
      </c>
      <c r="G17" s="333">
        <v>0</v>
      </c>
      <c r="H17" s="420">
        <v>0</v>
      </c>
      <c r="I17" s="420">
        <v>0</v>
      </c>
      <c r="J17" s="705">
        <v>26312.131229999999</v>
      </c>
      <c r="K17" s="335">
        <v>0</v>
      </c>
      <c r="L17" s="335">
        <v>0</v>
      </c>
      <c r="M17" s="335">
        <v>0</v>
      </c>
      <c r="N17" s="335">
        <v>0</v>
      </c>
      <c r="O17" s="335">
        <v>0</v>
      </c>
      <c r="P17" s="335">
        <f t="shared" ref="P17" si="6">+M17-N17</f>
        <v>0</v>
      </c>
    </row>
    <row r="18" spans="1:16" ht="26.25" hidden="1" thickBot="1" x14ac:dyDescent="0.25">
      <c r="A18" s="163">
        <v>8</v>
      </c>
      <c r="B18" s="165"/>
      <c r="C18" s="544" t="s">
        <v>157</v>
      </c>
      <c r="G18" s="524">
        <v>0</v>
      </c>
      <c r="H18" s="524"/>
      <c r="I18" s="524"/>
      <c r="J18" s="524"/>
      <c r="K18" s="524"/>
      <c r="L18" s="524"/>
      <c r="M18" s="524"/>
      <c r="N18" s="524"/>
      <c r="O18" s="524"/>
      <c r="P18" s="524"/>
    </row>
    <row r="19" spans="1:16" ht="26.25" hidden="1" thickBot="1" x14ac:dyDescent="0.25">
      <c r="A19" s="163">
        <v>9</v>
      </c>
      <c r="B19" s="165"/>
      <c r="C19" s="544" t="s">
        <v>157</v>
      </c>
      <c r="G19" s="524">
        <v>0</v>
      </c>
      <c r="H19" s="524"/>
      <c r="I19" s="524"/>
      <c r="J19" s="524"/>
      <c r="K19" s="524"/>
      <c r="L19" s="524"/>
      <c r="M19" s="524"/>
      <c r="N19" s="524"/>
      <c r="O19" s="524"/>
      <c r="P19" s="524"/>
    </row>
    <row r="20" spans="1:16" ht="34.5" customHeight="1" thickBot="1" x14ac:dyDescent="0.25">
      <c r="A20" s="1335" t="s">
        <v>23</v>
      </c>
      <c r="B20" s="1336"/>
      <c r="C20" s="168" t="s">
        <v>30</v>
      </c>
      <c r="D20" s="332">
        <f>+SUM(D14:D19)</f>
        <v>0</v>
      </c>
      <c r="E20" s="331">
        <f>SUM(E14:E19)</f>
        <v>0</v>
      </c>
      <c r="F20" s="331">
        <f>SUM(F14:F19)</f>
        <v>0</v>
      </c>
      <c r="G20" s="422">
        <f>SUM(G14:G19)</f>
        <v>0</v>
      </c>
      <c r="H20" s="331">
        <f>SUM(H11:H19)</f>
        <v>50000</v>
      </c>
      <c r="I20" s="331">
        <f>SUM(I11:I19)</f>
        <v>2600</v>
      </c>
      <c r="J20" s="525">
        <f>SUM(J11:J19)</f>
        <v>252464.8599499999</v>
      </c>
      <c r="K20" s="331">
        <f t="shared" ref="K20:P20" si="7">SUM(K14:K19)</f>
        <v>0</v>
      </c>
      <c r="L20" s="331">
        <f t="shared" si="7"/>
        <v>0</v>
      </c>
      <c r="M20" s="331">
        <f t="shared" si="7"/>
        <v>0</v>
      </c>
      <c r="N20" s="331">
        <f t="shared" si="7"/>
        <v>0</v>
      </c>
      <c r="O20" s="331">
        <f t="shared" si="7"/>
        <v>0</v>
      </c>
      <c r="P20" s="331">
        <f t="shared" si="7"/>
        <v>0</v>
      </c>
    </row>
  </sheetData>
  <mergeCells count="4">
    <mergeCell ref="A10:B10"/>
    <mergeCell ref="A1:P1"/>
    <mergeCell ref="A2:P2"/>
    <mergeCell ref="A20:B20"/>
  </mergeCells>
  <phoneticPr fontId="41" type="noConversion"/>
  <pageMargins left="0.51" right="0.15748031496062992" top="0.21" bottom="0.19685039370078741" header="0.19685039370078741" footer="0.19685039370078741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4"/>
  <dimension ref="A1:W189"/>
  <sheetViews>
    <sheetView topLeftCell="B113" zoomScaleNormal="100" zoomScaleSheetLayoutView="80" workbookViewId="0">
      <selection activeCell="L116" sqref="L116"/>
    </sheetView>
  </sheetViews>
  <sheetFormatPr defaultRowHeight="15" x14ac:dyDescent="0.25"/>
  <cols>
    <col min="1" max="1" width="3.5703125" hidden="1" customWidth="1"/>
    <col min="2" max="2" width="4.140625" style="449" customWidth="1"/>
    <col min="3" max="3" width="15.5703125" customWidth="1"/>
    <col min="4" max="4" width="14.28515625" bestFit="1" customWidth="1"/>
    <col min="5" max="5" width="21.42578125" customWidth="1"/>
    <col min="6" max="6" width="11.5703125" customWidth="1"/>
    <col min="7" max="7" width="7.85546875" customWidth="1"/>
    <col min="8" max="8" width="6.7109375" customWidth="1"/>
    <col min="9" max="9" width="24.5703125" style="228" customWidth="1"/>
    <col min="10" max="10" width="26.28515625" customWidth="1"/>
    <col min="11" max="11" width="30" customWidth="1"/>
    <col min="12" max="12" width="23.5703125" customWidth="1"/>
    <col min="13" max="13" width="23.42578125" customWidth="1"/>
    <col min="14" max="14" width="27.85546875" customWidth="1"/>
    <col min="15" max="15" width="30.5703125" customWidth="1"/>
    <col min="16" max="16" width="30" customWidth="1"/>
    <col min="17" max="17" width="20.42578125" bestFit="1" customWidth="1"/>
    <col min="18" max="18" width="18.5703125" customWidth="1"/>
  </cols>
  <sheetData>
    <row r="1" spans="2:20" ht="23.25" customHeight="1" thickBot="1" x14ac:dyDescent="0.3">
      <c r="B1" s="1081"/>
      <c r="C1" s="1081"/>
      <c r="D1" s="1081"/>
      <c r="E1" s="1081"/>
      <c r="F1" s="1081"/>
      <c r="G1" s="1081"/>
      <c r="H1" s="1081"/>
      <c r="I1" s="1081"/>
      <c r="J1" s="1081"/>
      <c r="L1" s="93" t="s">
        <v>20</v>
      </c>
      <c r="M1" s="15"/>
      <c r="N1" s="15"/>
      <c r="O1" s="15"/>
      <c r="P1" s="15"/>
      <c r="Q1" s="15"/>
      <c r="R1" s="15"/>
      <c r="S1" s="15"/>
      <c r="T1" s="15"/>
    </row>
    <row r="2" spans="2:20" ht="41.25" customHeight="1" thickBot="1" x14ac:dyDescent="0.3">
      <c r="B2" s="94" t="s">
        <v>15</v>
      </c>
      <c r="C2" s="1056" t="s">
        <v>24</v>
      </c>
      <c r="D2" s="1057"/>
      <c r="E2" s="94" t="s">
        <v>25</v>
      </c>
      <c r="F2" s="523" t="s">
        <v>18</v>
      </c>
      <c r="G2" s="11" t="s">
        <v>31</v>
      </c>
      <c r="H2" s="95" t="s">
        <v>26</v>
      </c>
      <c r="I2" s="231" t="s">
        <v>27</v>
      </c>
      <c r="J2" s="746" t="s">
        <v>197</v>
      </c>
      <c r="K2" s="387" t="s">
        <v>153</v>
      </c>
      <c r="L2" s="388" t="s">
        <v>29</v>
      </c>
    </row>
    <row r="3" spans="2:20" ht="18" customHeight="1" x14ac:dyDescent="0.25">
      <c r="B3" s="506">
        <v>1</v>
      </c>
      <c r="C3" s="507">
        <v>43466</v>
      </c>
      <c r="D3" s="508">
        <v>43830</v>
      </c>
      <c r="E3" s="509">
        <f>1165000000</f>
        <v>1165000000</v>
      </c>
      <c r="F3" s="510">
        <v>0.02</v>
      </c>
      <c r="G3" s="511">
        <v>360</v>
      </c>
      <c r="H3" s="511">
        <v>360</v>
      </c>
      <c r="I3" s="512"/>
      <c r="J3" s="517">
        <v>23300000</v>
      </c>
      <c r="K3" s="512">
        <v>23300000</v>
      </c>
      <c r="L3" s="517">
        <f t="shared" ref="L3:L14" si="0">I3+J3</f>
        <v>23300000</v>
      </c>
      <c r="M3" s="1119"/>
      <c r="N3" s="1120"/>
    </row>
    <row r="4" spans="2:20" ht="18" customHeight="1" x14ac:dyDescent="0.25">
      <c r="B4" s="506">
        <v>2</v>
      </c>
      <c r="C4" s="507">
        <v>43831</v>
      </c>
      <c r="D4" s="508">
        <v>44196</v>
      </c>
      <c r="E4" s="509">
        <f>1165000000</f>
        <v>1165000000</v>
      </c>
      <c r="F4" s="510">
        <v>0.02</v>
      </c>
      <c r="G4" s="511">
        <v>360</v>
      </c>
      <c r="H4" s="511">
        <v>360</v>
      </c>
      <c r="I4" s="512">
        <v>106000000</v>
      </c>
      <c r="J4" s="515">
        <v>21468983.329999998</v>
      </c>
      <c r="K4" s="512">
        <v>21468983.329999998</v>
      </c>
      <c r="L4" s="515">
        <f t="shared" si="0"/>
        <v>127468983.33</v>
      </c>
      <c r="M4" s="1119"/>
      <c r="N4" s="1120"/>
    </row>
    <row r="5" spans="2:20" ht="18" customHeight="1" x14ac:dyDescent="0.25">
      <c r="B5" s="506">
        <v>3</v>
      </c>
      <c r="C5" s="513">
        <v>44197</v>
      </c>
      <c r="D5" s="514">
        <v>44561</v>
      </c>
      <c r="E5" s="515">
        <f t="shared" ref="E5:E14" si="1">E4-I4</f>
        <v>1059000000</v>
      </c>
      <c r="F5" s="516">
        <v>0.02</v>
      </c>
      <c r="G5" s="511">
        <v>360</v>
      </c>
      <c r="H5" s="511">
        <v>360</v>
      </c>
      <c r="I5" s="512">
        <v>106000000</v>
      </c>
      <c r="J5" s="515">
        <f>E5*F5*H5/H5</f>
        <v>21180000</v>
      </c>
      <c r="K5" s="512">
        <v>21180000</v>
      </c>
      <c r="L5" s="515">
        <f t="shared" si="0"/>
        <v>127180000</v>
      </c>
      <c r="M5" s="1119"/>
      <c r="N5" s="1120"/>
    </row>
    <row r="6" spans="2:20" ht="18" customHeight="1" x14ac:dyDescent="0.25">
      <c r="B6" s="506">
        <v>4</v>
      </c>
      <c r="C6" s="513">
        <v>44562</v>
      </c>
      <c r="D6" s="514">
        <v>44926</v>
      </c>
      <c r="E6" s="515">
        <f t="shared" si="1"/>
        <v>953000000</v>
      </c>
      <c r="F6" s="516">
        <v>0.02</v>
      </c>
      <c r="G6" s="511">
        <v>360</v>
      </c>
      <c r="H6" s="511">
        <v>360</v>
      </c>
      <c r="I6" s="512">
        <v>106000000</v>
      </c>
      <c r="J6" s="515">
        <f>E6*F6*H6/H6</f>
        <v>19060000</v>
      </c>
      <c r="K6" s="512">
        <v>19060000</v>
      </c>
      <c r="L6" s="515">
        <f t="shared" si="0"/>
        <v>125060000</v>
      </c>
      <c r="M6" s="1119"/>
      <c r="N6" s="1120"/>
    </row>
    <row r="7" spans="2:20" ht="18" x14ac:dyDescent="0.25">
      <c r="B7" s="506">
        <v>5</v>
      </c>
      <c r="C7" s="513">
        <v>44927</v>
      </c>
      <c r="D7" s="514">
        <v>45291</v>
      </c>
      <c r="E7" s="515">
        <f t="shared" si="1"/>
        <v>847000000</v>
      </c>
      <c r="F7" s="516">
        <v>0.02</v>
      </c>
      <c r="G7" s="511">
        <v>360</v>
      </c>
      <c r="H7" s="511">
        <v>360</v>
      </c>
      <c r="I7" s="512">
        <v>106000000</v>
      </c>
      <c r="J7" s="515">
        <f>E7*F7*H7/H7</f>
        <v>16940000</v>
      </c>
      <c r="K7" s="512">
        <v>16940000</v>
      </c>
      <c r="L7" s="515">
        <f t="shared" si="0"/>
        <v>122940000</v>
      </c>
      <c r="M7" s="1119"/>
      <c r="N7" s="1120"/>
    </row>
    <row r="8" spans="2:20" ht="18" x14ac:dyDescent="0.25">
      <c r="B8" s="12">
        <v>6</v>
      </c>
      <c r="C8" s="96">
        <v>45292</v>
      </c>
      <c r="D8" s="97">
        <v>45657</v>
      </c>
      <c r="E8" s="133">
        <f t="shared" si="1"/>
        <v>741000000</v>
      </c>
      <c r="F8" s="98">
        <v>0.02</v>
      </c>
      <c r="G8" s="424">
        <v>366</v>
      </c>
      <c r="H8" s="424">
        <v>360</v>
      </c>
      <c r="I8" s="405">
        <v>106000000</v>
      </c>
      <c r="J8" s="133">
        <f>E8*F8*G8/H8</f>
        <v>15067000</v>
      </c>
      <c r="K8" s="518">
        <v>14006833.33</v>
      </c>
      <c r="L8" s="133">
        <f t="shared" si="0"/>
        <v>121067000</v>
      </c>
      <c r="M8" s="14"/>
    </row>
    <row r="9" spans="2:20" ht="18" x14ac:dyDescent="0.25">
      <c r="B9" s="12">
        <v>7</v>
      </c>
      <c r="C9" s="96">
        <v>45658</v>
      </c>
      <c r="D9" s="97">
        <v>46022</v>
      </c>
      <c r="E9" s="133">
        <f t="shared" si="1"/>
        <v>635000000</v>
      </c>
      <c r="F9" s="98">
        <v>0.02</v>
      </c>
      <c r="G9" s="424">
        <v>365</v>
      </c>
      <c r="H9" s="424">
        <v>360</v>
      </c>
      <c r="I9" s="405">
        <v>106000000</v>
      </c>
      <c r="J9" s="133">
        <f t="shared" ref="J9:J14" si="2">E9*F9*G9/H9</f>
        <v>12876388.888888888</v>
      </c>
      <c r="K9" s="518"/>
      <c r="L9" s="133">
        <f t="shared" si="0"/>
        <v>118876388.8888889</v>
      </c>
      <c r="M9" s="14"/>
    </row>
    <row r="10" spans="2:20" ht="18" x14ac:dyDescent="0.25">
      <c r="B10" s="12">
        <v>8</v>
      </c>
      <c r="C10" s="96">
        <v>46023</v>
      </c>
      <c r="D10" s="97">
        <v>46387</v>
      </c>
      <c r="E10" s="133">
        <f t="shared" si="1"/>
        <v>529000000</v>
      </c>
      <c r="F10" s="98">
        <v>0.02</v>
      </c>
      <c r="G10" s="424">
        <v>365</v>
      </c>
      <c r="H10" s="424">
        <v>360</v>
      </c>
      <c r="I10" s="405">
        <v>106000000</v>
      </c>
      <c r="J10" s="133">
        <f t="shared" si="2"/>
        <v>10726944.444444444</v>
      </c>
      <c r="K10" s="518">
        <v>9547444.444444444</v>
      </c>
      <c r="L10" s="133">
        <f t="shared" si="0"/>
        <v>116726944.44444445</v>
      </c>
      <c r="M10" s="14"/>
    </row>
    <row r="11" spans="2:20" ht="18" x14ac:dyDescent="0.25">
      <c r="B11" s="12">
        <v>9</v>
      </c>
      <c r="C11" s="96">
        <v>46388</v>
      </c>
      <c r="D11" s="97">
        <v>46752</v>
      </c>
      <c r="E11" s="133">
        <f t="shared" si="1"/>
        <v>423000000</v>
      </c>
      <c r="F11" s="98">
        <v>0.02</v>
      </c>
      <c r="G11" s="424">
        <v>365</v>
      </c>
      <c r="H11" s="424">
        <v>360</v>
      </c>
      <c r="I11" s="405">
        <v>106000000</v>
      </c>
      <c r="J11" s="133">
        <f t="shared" si="2"/>
        <v>8577500</v>
      </c>
      <c r="K11" s="518">
        <v>7427444.444444444</v>
      </c>
      <c r="L11" s="133">
        <f t="shared" si="0"/>
        <v>114577500</v>
      </c>
      <c r="M11" s="14"/>
      <c r="Q11" s="14"/>
    </row>
    <row r="12" spans="2:20" ht="18" x14ac:dyDescent="0.25">
      <c r="B12" s="12">
        <v>10</v>
      </c>
      <c r="C12" s="96">
        <v>46753</v>
      </c>
      <c r="D12" s="97">
        <v>47118</v>
      </c>
      <c r="E12" s="133">
        <f t="shared" si="1"/>
        <v>317000000</v>
      </c>
      <c r="F12" s="98">
        <v>0.02</v>
      </c>
      <c r="G12" s="424">
        <v>365</v>
      </c>
      <c r="H12" s="424">
        <v>360</v>
      </c>
      <c r="I12" s="405">
        <v>106000000</v>
      </c>
      <c r="J12" s="133">
        <f t="shared" si="2"/>
        <v>6428055.555555556</v>
      </c>
      <c r="K12" s="518">
        <v>5307444.444444445</v>
      </c>
      <c r="L12" s="133">
        <f t="shared" si="0"/>
        <v>112428055.55555555</v>
      </c>
      <c r="M12" s="14"/>
      <c r="N12">
        <f>25*7</f>
        <v>175</v>
      </c>
      <c r="O12">
        <f>+N12+100</f>
        <v>275</v>
      </c>
      <c r="P12">
        <f>+P13-O12</f>
        <v>175</v>
      </c>
      <c r="Q12" s="14"/>
    </row>
    <row r="13" spans="2:20" ht="18" x14ac:dyDescent="0.25">
      <c r="B13" s="99">
        <v>11</v>
      </c>
      <c r="C13" s="96">
        <v>47119</v>
      </c>
      <c r="D13" s="97">
        <v>47483</v>
      </c>
      <c r="E13" s="133">
        <f t="shared" si="1"/>
        <v>211000000</v>
      </c>
      <c r="F13" s="98">
        <v>0.02</v>
      </c>
      <c r="G13" s="424">
        <v>365</v>
      </c>
      <c r="H13" s="424">
        <v>360</v>
      </c>
      <c r="I13" s="405">
        <v>106000000</v>
      </c>
      <c r="J13" s="133">
        <f t="shared" si="2"/>
        <v>4278611.111111111</v>
      </c>
      <c r="K13" s="518">
        <v>3187444.4444444445</v>
      </c>
      <c r="L13" s="133">
        <f t="shared" si="0"/>
        <v>110278611.1111111</v>
      </c>
      <c r="M13" s="14"/>
      <c r="O13">
        <f>50*7</f>
        <v>350</v>
      </c>
      <c r="P13">
        <f>+O13+100</f>
        <v>450</v>
      </c>
      <c r="Q13" s="14"/>
    </row>
    <row r="14" spans="2:20" ht="18.75" thickBot="1" x14ac:dyDescent="0.3">
      <c r="B14" s="99">
        <v>12</v>
      </c>
      <c r="C14" s="100">
        <v>47484</v>
      </c>
      <c r="D14" s="101">
        <v>47848</v>
      </c>
      <c r="E14" s="505">
        <f t="shared" si="1"/>
        <v>105000000</v>
      </c>
      <c r="F14" s="102">
        <v>0.02</v>
      </c>
      <c r="G14" s="424">
        <v>365</v>
      </c>
      <c r="H14" s="424">
        <v>360</v>
      </c>
      <c r="I14" s="406">
        <v>105000000</v>
      </c>
      <c r="J14" s="133">
        <f t="shared" si="2"/>
        <v>2129166.6666666665</v>
      </c>
      <c r="K14" s="519">
        <v>1069166.6666666665</v>
      </c>
      <c r="L14" s="152">
        <f t="shared" si="0"/>
        <v>107129166.66666667</v>
      </c>
      <c r="M14" s="14"/>
    </row>
    <row r="15" spans="2:20" ht="18.75" thickBot="1" x14ac:dyDescent="0.3">
      <c r="B15" s="1056" t="s">
        <v>23</v>
      </c>
      <c r="C15" s="1057"/>
      <c r="D15" s="1058"/>
      <c r="E15" s="104" t="s">
        <v>30</v>
      </c>
      <c r="F15" s="104" t="s">
        <v>30</v>
      </c>
      <c r="G15" s="104" t="s">
        <v>30</v>
      </c>
      <c r="H15" s="104" t="s">
        <v>30</v>
      </c>
      <c r="I15" s="232">
        <f>SUM(I4:I14)</f>
        <v>1165000000</v>
      </c>
      <c r="J15" s="520">
        <f>SUM(J3:J14)</f>
        <v>162032649.99666664</v>
      </c>
      <c r="K15" s="521">
        <f>SUM(K3:K14)</f>
        <v>142494761.10444444</v>
      </c>
      <c r="L15" s="522">
        <f>SUM(L4:L14)</f>
        <v>1303732649.9966667</v>
      </c>
      <c r="M15" s="14"/>
      <c r="Q15" s="14"/>
    </row>
    <row r="16" spans="2:20" ht="18" x14ac:dyDescent="0.25">
      <c r="B16" s="389"/>
      <c r="C16" s="389"/>
      <c r="D16" s="389"/>
      <c r="E16" s="103"/>
      <c r="F16" s="103"/>
      <c r="G16" s="103"/>
      <c r="H16" s="103"/>
      <c r="I16" s="390"/>
      <c r="J16" s="391"/>
      <c r="K16" s="391"/>
      <c r="L16" s="419"/>
      <c r="Q16" s="14"/>
    </row>
    <row r="17" spans="2:17" ht="18" x14ac:dyDescent="0.25">
      <c r="B17" s="389"/>
      <c r="C17" s="389"/>
      <c r="D17" s="389"/>
      <c r="E17" s="103"/>
      <c r="F17" s="103"/>
      <c r="G17" s="103"/>
      <c r="H17" s="103"/>
      <c r="I17" s="390"/>
      <c r="J17" s="391"/>
      <c r="K17" s="391"/>
      <c r="L17" s="419"/>
      <c r="Q17" s="14"/>
    </row>
    <row r="18" spans="2:17" ht="23.25" customHeight="1" x14ac:dyDescent="0.25">
      <c r="B18" s="1048" t="s">
        <v>15</v>
      </c>
      <c r="C18" s="1048" t="s">
        <v>24</v>
      </c>
      <c r="D18" s="1048"/>
      <c r="E18" s="1048" t="s">
        <v>25</v>
      </c>
      <c r="F18" s="1046" t="s">
        <v>18</v>
      </c>
      <c r="G18" s="1046" t="s">
        <v>31</v>
      </c>
      <c r="H18" s="1046" t="s">
        <v>26</v>
      </c>
      <c r="I18" s="1046" t="s">
        <v>57</v>
      </c>
      <c r="J18" s="1046"/>
      <c r="K18" s="1046"/>
      <c r="L18" s="1046" t="s">
        <v>17</v>
      </c>
      <c r="M18" s="1046" t="s">
        <v>59</v>
      </c>
      <c r="N18" s="1046" t="s">
        <v>144</v>
      </c>
    </row>
    <row r="19" spans="2:17" ht="26.25" customHeight="1" thickBot="1" x14ac:dyDescent="0.3">
      <c r="B19" s="1049"/>
      <c r="C19" s="1049"/>
      <c r="D19" s="1049"/>
      <c r="E19" s="1049"/>
      <c r="F19" s="1047"/>
      <c r="G19" s="1047"/>
      <c r="H19" s="1047"/>
      <c r="I19" s="601" t="s">
        <v>58</v>
      </c>
      <c r="J19" s="602" t="s">
        <v>55</v>
      </c>
      <c r="K19" s="602" t="s">
        <v>29</v>
      </c>
      <c r="L19" s="1047"/>
      <c r="M19" s="1047"/>
      <c r="N19" s="1047"/>
    </row>
    <row r="20" spans="2:17" ht="18" x14ac:dyDescent="0.25">
      <c r="B20" s="603">
        <v>1</v>
      </c>
      <c r="C20" s="604">
        <v>45292</v>
      </c>
      <c r="D20" s="604">
        <v>45322</v>
      </c>
      <c r="E20" s="605">
        <v>741000000</v>
      </c>
      <c r="F20" s="606">
        <v>0.02</v>
      </c>
      <c r="G20" s="607">
        <f>+D20-C20+1</f>
        <v>31</v>
      </c>
      <c r="H20" s="608">
        <v>360</v>
      </c>
      <c r="I20" s="605"/>
      <c r="J20" s="609">
        <f t="shared" ref="J20:J36" si="3">E20*F20*G20/H20</f>
        <v>1276166.6666666667</v>
      </c>
      <c r="K20" s="609">
        <f>I20+J20</f>
        <v>1276166.6666666667</v>
      </c>
      <c r="L20" s="609"/>
      <c r="M20" s="609"/>
      <c r="N20" s="610">
        <f>K20-(L20+M20)</f>
        <v>1276166.6666666667</v>
      </c>
      <c r="P20" s="20"/>
    </row>
    <row r="21" spans="2:17" ht="18" x14ac:dyDescent="0.25">
      <c r="B21" s="611">
        <v>2</v>
      </c>
      <c r="C21" s="612">
        <v>45323</v>
      </c>
      <c r="D21" s="612">
        <v>45351</v>
      </c>
      <c r="E21" s="435">
        <f t="shared" ref="E21:E36" si="4">+E20-L21</f>
        <v>741000000</v>
      </c>
      <c r="F21" s="441">
        <v>0.02</v>
      </c>
      <c r="G21" s="443">
        <f t="shared" ref="G21:G36" si="5">+D21-C21+1</f>
        <v>29</v>
      </c>
      <c r="H21" s="613">
        <v>360</v>
      </c>
      <c r="I21" s="435"/>
      <c r="J21" s="614">
        <f t="shared" si="3"/>
        <v>1193833.3333333333</v>
      </c>
      <c r="K21" s="614">
        <f>I21+J21</f>
        <v>1193833.3333333333</v>
      </c>
      <c r="L21" s="614"/>
      <c r="M21" s="614"/>
      <c r="N21" s="615">
        <f>(K21+N20)-(L21+M21)</f>
        <v>2470000</v>
      </c>
      <c r="P21" s="14"/>
    </row>
    <row r="22" spans="2:17" ht="18" x14ac:dyDescent="0.25">
      <c r="B22" s="1082">
        <v>3</v>
      </c>
      <c r="C22" s="612">
        <v>45352</v>
      </c>
      <c r="D22" s="612">
        <v>45380</v>
      </c>
      <c r="E22" s="435">
        <f t="shared" si="4"/>
        <v>741000000</v>
      </c>
      <c r="F22" s="441">
        <v>0.02</v>
      </c>
      <c r="G22" s="443">
        <f t="shared" si="5"/>
        <v>29</v>
      </c>
      <c r="H22" s="613">
        <v>360</v>
      </c>
      <c r="I22" s="435"/>
      <c r="J22" s="614">
        <f t="shared" si="3"/>
        <v>1193833.3333333333</v>
      </c>
      <c r="K22" s="614">
        <f t="shared" ref="K22:K33" si="6">I22+J22</f>
        <v>1193833.3333333333</v>
      </c>
      <c r="L22" s="614"/>
      <c r="M22" s="614"/>
      <c r="N22" s="615">
        <f>(K22+N21)-(L22+M22)</f>
        <v>3663833.333333333</v>
      </c>
      <c r="O22" s="9"/>
    </row>
    <row r="23" spans="2:17" ht="18.75" thickBot="1" x14ac:dyDescent="0.3">
      <c r="B23" s="1083"/>
      <c r="C23" s="622">
        <v>45381</v>
      </c>
      <c r="D23" s="622">
        <v>45382</v>
      </c>
      <c r="E23" s="623">
        <f t="shared" si="4"/>
        <v>706000000</v>
      </c>
      <c r="F23" s="624">
        <v>0.02</v>
      </c>
      <c r="G23" s="625">
        <f t="shared" si="5"/>
        <v>2</v>
      </c>
      <c r="H23" s="626">
        <v>360</v>
      </c>
      <c r="I23" s="623">
        <v>35000000</v>
      </c>
      <c r="J23" s="627">
        <f t="shared" si="3"/>
        <v>78444.444444444438</v>
      </c>
      <c r="K23" s="627">
        <f t="shared" si="6"/>
        <v>35078444.444444448</v>
      </c>
      <c r="L23" s="627">
        <v>35000000</v>
      </c>
      <c r="M23" s="627">
        <v>168429.73</v>
      </c>
      <c r="N23" s="628">
        <f>+(N22+K23)-L23</f>
        <v>3742277.7777777836</v>
      </c>
      <c r="O23" s="1117" t="s">
        <v>244</v>
      </c>
      <c r="P23" s="1118"/>
    </row>
    <row r="24" spans="2:17" ht="18" x14ac:dyDescent="0.25">
      <c r="B24" s="603">
        <v>4</v>
      </c>
      <c r="C24" s="604">
        <v>45383</v>
      </c>
      <c r="D24" s="604">
        <v>45412</v>
      </c>
      <c r="E24" s="605">
        <f t="shared" si="4"/>
        <v>706000000</v>
      </c>
      <c r="F24" s="606">
        <v>0.02</v>
      </c>
      <c r="G24" s="607">
        <f t="shared" si="5"/>
        <v>30</v>
      </c>
      <c r="H24" s="608">
        <v>360</v>
      </c>
      <c r="I24" s="605"/>
      <c r="J24" s="609">
        <f t="shared" si="3"/>
        <v>1176666.6666666667</v>
      </c>
      <c r="K24" s="609">
        <f t="shared" si="6"/>
        <v>1176666.6666666667</v>
      </c>
      <c r="L24" s="609"/>
      <c r="M24" s="609"/>
      <c r="N24" s="610">
        <f t="shared" ref="N24:N33" si="7">(N23+K24)-(L24+M24)</f>
        <v>4918944.4444444505</v>
      </c>
      <c r="O24" s="9"/>
    </row>
    <row r="25" spans="2:17" ht="18" x14ac:dyDescent="0.25">
      <c r="B25" s="611">
        <v>5</v>
      </c>
      <c r="C25" s="612">
        <v>45413</v>
      </c>
      <c r="D25" s="612">
        <v>45443</v>
      </c>
      <c r="E25" s="435">
        <f t="shared" si="4"/>
        <v>706000000</v>
      </c>
      <c r="F25" s="441">
        <v>0.02</v>
      </c>
      <c r="G25" s="443">
        <f t="shared" si="5"/>
        <v>31</v>
      </c>
      <c r="H25" s="613">
        <v>360</v>
      </c>
      <c r="I25" s="435"/>
      <c r="J25" s="614">
        <f t="shared" si="3"/>
        <v>1215888.888888889</v>
      </c>
      <c r="K25" s="614">
        <f t="shared" si="6"/>
        <v>1215888.888888889</v>
      </c>
      <c r="L25" s="614"/>
      <c r="M25" s="614"/>
      <c r="N25" s="615">
        <f t="shared" si="7"/>
        <v>6134833.3333333395</v>
      </c>
      <c r="P25" s="747"/>
    </row>
    <row r="26" spans="2:17" ht="18" x14ac:dyDescent="0.25">
      <c r="B26" s="1050">
        <v>6</v>
      </c>
      <c r="C26" s="612">
        <v>45444</v>
      </c>
      <c r="D26" s="612">
        <v>45468</v>
      </c>
      <c r="E26" s="435">
        <f t="shared" si="4"/>
        <v>706000000</v>
      </c>
      <c r="F26" s="441">
        <v>0.02</v>
      </c>
      <c r="G26" s="443">
        <f t="shared" si="5"/>
        <v>25</v>
      </c>
      <c r="H26" s="613">
        <v>360</v>
      </c>
      <c r="I26" s="435"/>
      <c r="J26" s="614">
        <f t="shared" si="3"/>
        <v>980555.5555555555</v>
      </c>
      <c r="K26" s="614">
        <f t="shared" si="6"/>
        <v>980555.5555555555</v>
      </c>
      <c r="L26" s="614"/>
      <c r="M26" s="614"/>
      <c r="N26" s="615">
        <f t="shared" si="7"/>
        <v>7115388.8888888955</v>
      </c>
    </row>
    <row r="27" spans="2:17" ht="18" x14ac:dyDescent="0.25">
      <c r="B27" s="1052"/>
      <c r="C27" s="629">
        <v>45469</v>
      </c>
      <c r="D27" s="629">
        <v>45470</v>
      </c>
      <c r="E27" s="630">
        <f t="shared" si="4"/>
        <v>688000000</v>
      </c>
      <c r="F27" s="631">
        <v>0.02</v>
      </c>
      <c r="G27" s="632">
        <f t="shared" si="5"/>
        <v>2</v>
      </c>
      <c r="H27" s="633">
        <v>360</v>
      </c>
      <c r="I27" s="630"/>
      <c r="J27" s="634">
        <f t="shared" si="3"/>
        <v>76444.444444444438</v>
      </c>
      <c r="K27" s="634">
        <f t="shared" si="6"/>
        <v>76444.444444444438</v>
      </c>
      <c r="L27" s="634">
        <v>18000000</v>
      </c>
      <c r="M27" s="634"/>
      <c r="N27" s="672">
        <f t="shared" si="7"/>
        <v>-10808166.66666666</v>
      </c>
    </row>
    <row r="28" spans="2:17" ht="18.75" thickBot="1" x14ac:dyDescent="0.3">
      <c r="B28" s="1100"/>
      <c r="C28" s="622">
        <v>45471</v>
      </c>
      <c r="D28" s="622">
        <v>45473</v>
      </c>
      <c r="E28" s="623">
        <f t="shared" si="4"/>
        <v>670000000</v>
      </c>
      <c r="F28" s="624">
        <v>0.02</v>
      </c>
      <c r="G28" s="625">
        <f t="shared" si="5"/>
        <v>3</v>
      </c>
      <c r="H28" s="626">
        <v>360</v>
      </c>
      <c r="I28" s="623">
        <v>36000000</v>
      </c>
      <c r="J28" s="627">
        <f t="shared" si="3"/>
        <v>111666.66666666667</v>
      </c>
      <c r="K28" s="627">
        <f t="shared" si="6"/>
        <v>36111666.666666664</v>
      </c>
      <c r="L28" s="627">
        <v>18000000</v>
      </c>
      <c r="M28" s="627"/>
      <c r="N28" s="628">
        <f t="shared" si="7"/>
        <v>7303500.0000000037</v>
      </c>
    </row>
    <row r="29" spans="2:17" ht="18" x14ac:dyDescent="0.25">
      <c r="B29" s="659">
        <v>7</v>
      </c>
      <c r="C29" s="616">
        <v>45474</v>
      </c>
      <c r="D29" s="616">
        <v>45504</v>
      </c>
      <c r="E29" s="617">
        <f t="shared" si="4"/>
        <v>670000000</v>
      </c>
      <c r="F29" s="618">
        <v>0.02</v>
      </c>
      <c r="G29" s="619">
        <f t="shared" si="5"/>
        <v>31</v>
      </c>
      <c r="H29" s="620">
        <v>360</v>
      </c>
      <c r="I29" s="617"/>
      <c r="J29" s="621">
        <f t="shared" si="3"/>
        <v>1153888.888888889</v>
      </c>
      <c r="K29" s="621">
        <f t="shared" si="6"/>
        <v>1153888.888888889</v>
      </c>
      <c r="L29" s="621"/>
      <c r="M29" s="621"/>
      <c r="N29" s="621">
        <f t="shared" si="7"/>
        <v>8457388.8888888918</v>
      </c>
    </row>
    <row r="30" spans="2:17" ht="18" x14ac:dyDescent="0.25">
      <c r="B30" s="611">
        <v>8</v>
      </c>
      <c r="C30" s="612">
        <v>45505</v>
      </c>
      <c r="D30" s="612">
        <v>45535</v>
      </c>
      <c r="E30" s="435">
        <f t="shared" si="4"/>
        <v>670000000</v>
      </c>
      <c r="F30" s="441">
        <v>0.02</v>
      </c>
      <c r="G30" s="443">
        <f t="shared" si="5"/>
        <v>31</v>
      </c>
      <c r="H30" s="613">
        <v>360</v>
      </c>
      <c r="I30" s="435"/>
      <c r="J30" s="614">
        <f t="shared" si="3"/>
        <v>1153888.888888889</v>
      </c>
      <c r="K30" s="614">
        <f t="shared" si="6"/>
        <v>1153888.888888889</v>
      </c>
      <c r="L30" s="614"/>
      <c r="M30" s="614"/>
      <c r="N30" s="614">
        <f t="shared" si="7"/>
        <v>9611277.7777777798</v>
      </c>
    </row>
    <row r="31" spans="2:17" ht="18" x14ac:dyDescent="0.25">
      <c r="B31" s="611">
        <v>9</v>
      </c>
      <c r="C31" s="612">
        <v>45536</v>
      </c>
      <c r="D31" s="612">
        <v>45565</v>
      </c>
      <c r="E31" s="435">
        <f t="shared" si="4"/>
        <v>670000000</v>
      </c>
      <c r="F31" s="441">
        <v>0.02</v>
      </c>
      <c r="G31" s="443">
        <f t="shared" si="5"/>
        <v>30</v>
      </c>
      <c r="H31" s="613">
        <v>360</v>
      </c>
      <c r="I31" s="435">
        <v>25000000</v>
      </c>
      <c r="J31" s="614">
        <f t="shared" si="3"/>
        <v>1116666.6666666667</v>
      </c>
      <c r="K31" s="614">
        <f t="shared" si="6"/>
        <v>26116666.666666668</v>
      </c>
      <c r="L31" s="614"/>
      <c r="M31" s="614"/>
      <c r="N31" s="614">
        <f t="shared" si="7"/>
        <v>35727944.444444448</v>
      </c>
    </row>
    <row r="32" spans="2:17" ht="24" thickBot="1" x14ac:dyDescent="0.4">
      <c r="B32" s="1050">
        <v>10</v>
      </c>
      <c r="C32" s="622">
        <v>45566</v>
      </c>
      <c r="D32" s="622">
        <v>45566</v>
      </c>
      <c r="E32" s="623">
        <f>+E31-L32</f>
        <v>645000000</v>
      </c>
      <c r="F32" s="624">
        <v>0.02</v>
      </c>
      <c r="G32" s="625">
        <f t="shared" si="5"/>
        <v>1</v>
      </c>
      <c r="H32" s="626">
        <v>360</v>
      </c>
      <c r="I32" s="623"/>
      <c r="J32" s="627">
        <f t="shared" si="3"/>
        <v>35833.333333333336</v>
      </c>
      <c r="K32" s="627">
        <f t="shared" si="6"/>
        <v>35833.333333333336</v>
      </c>
      <c r="L32" s="627">
        <v>25000000</v>
      </c>
      <c r="M32" s="627"/>
      <c r="N32" s="628">
        <f>(N31+K32)-(L32+M32)</f>
        <v>10763777.777777784</v>
      </c>
      <c r="P32" s="914">
        <v>14005166.67</v>
      </c>
    </row>
    <row r="33" spans="2:17" ht="21.75" customHeight="1" x14ac:dyDescent="0.35">
      <c r="B33" s="1051"/>
      <c r="C33" s="612">
        <v>45567</v>
      </c>
      <c r="D33" s="612">
        <v>45596</v>
      </c>
      <c r="E33" s="435">
        <f t="shared" si="4"/>
        <v>645000000</v>
      </c>
      <c r="F33" s="441">
        <v>0.02</v>
      </c>
      <c r="G33" s="443">
        <f t="shared" si="5"/>
        <v>30</v>
      </c>
      <c r="H33" s="613">
        <v>360</v>
      </c>
      <c r="I33" s="435"/>
      <c r="J33" s="614">
        <f t="shared" si="3"/>
        <v>1075000</v>
      </c>
      <c r="K33" s="614">
        <f t="shared" si="6"/>
        <v>1075000</v>
      </c>
      <c r="L33" s="614"/>
      <c r="M33" s="614"/>
      <c r="N33" s="614">
        <f t="shared" si="7"/>
        <v>11838777.777777784</v>
      </c>
      <c r="P33" s="914">
        <v>0.81483333333332797</v>
      </c>
    </row>
    <row r="34" spans="2:17" ht="18" x14ac:dyDescent="0.25">
      <c r="B34" s="1050">
        <v>11</v>
      </c>
      <c r="C34" s="612">
        <v>45597</v>
      </c>
      <c r="D34" s="612">
        <v>45622</v>
      </c>
      <c r="E34" s="435">
        <f>+E33-L34</f>
        <v>645000000</v>
      </c>
      <c r="F34" s="441">
        <v>0.02</v>
      </c>
      <c r="G34" s="443">
        <f t="shared" si="5"/>
        <v>26</v>
      </c>
      <c r="H34" s="613">
        <v>360</v>
      </c>
      <c r="I34" s="435"/>
      <c r="J34" s="614">
        <f t="shared" si="3"/>
        <v>931666.66666666663</v>
      </c>
      <c r="K34" s="614">
        <f>I34+J34</f>
        <v>931666.66666666663</v>
      </c>
      <c r="L34" s="614"/>
      <c r="M34" s="614"/>
      <c r="N34" s="614">
        <f>(N33+K34)-(L34+M34)</f>
        <v>12770444.44444445</v>
      </c>
      <c r="O34" s="9"/>
    </row>
    <row r="35" spans="2:17" ht="18" x14ac:dyDescent="0.25">
      <c r="B35" s="1051"/>
      <c r="C35" s="629">
        <v>45623</v>
      </c>
      <c r="D35" s="629">
        <v>45626</v>
      </c>
      <c r="E35" s="630">
        <f>+E34-L35</f>
        <v>635000000</v>
      </c>
      <c r="F35" s="631">
        <v>0.02</v>
      </c>
      <c r="G35" s="632">
        <f t="shared" si="5"/>
        <v>4</v>
      </c>
      <c r="H35" s="633">
        <v>360</v>
      </c>
      <c r="I35" s="630">
        <v>10000000</v>
      </c>
      <c r="J35" s="634">
        <f t="shared" si="3"/>
        <v>141111.11111111112</v>
      </c>
      <c r="K35" s="634">
        <f>I35+J35</f>
        <v>10141111.111111112</v>
      </c>
      <c r="L35" s="634">
        <v>10000000</v>
      </c>
      <c r="M35" s="634"/>
      <c r="N35" s="634">
        <f>(N34+K35)-(L35+M35)</f>
        <v>12911555.55555556</v>
      </c>
      <c r="O35" s="9">
        <f>+M37-N36</f>
        <v>141111.11444444023</v>
      </c>
    </row>
    <row r="36" spans="2:17" ht="21" x14ac:dyDescent="0.25">
      <c r="B36" s="611">
        <v>12</v>
      </c>
      <c r="C36" s="612">
        <v>45627</v>
      </c>
      <c r="D36" s="612">
        <v>45653</v>
      </c>
      <c r="E36" s="435">
        <f t="shared" si="4"/>
        <v>635000000</v>
      </c>
      <c r="F36" s="441">
        <v>0.02</v>
      </c>
      <c r="G36" s="443">
        <f t="shared" si="5"/>
        <v>27</v>
      </c>
      <c r="H36" s="613">
        <v>360</v>
      </c>
      <c r="I36" s="435"/>
      <c r="J36" s="614">
        <f t="shared" si="3"/>
        <v>952500</v>
      </c>
      <c r="K36" s="614">
        <f>I36+J36</f>
        <v>952500</v>
      </c>
      <c r="L36" s="614"/>
      <c r="M36" s="614"/>
      <c r="N36" s="614">
        <f>(N35+K36)-(L36+M36)</f>
        <v>13864055.55555556</v>
      </c>
      <c r="O36" s="504">
        <f>14820000-M23</f>
        <v>14651570.27</v>
      </c>
      <c r="P36" s="9">
        <f>+O36-J38</f>
        <v>647314.71444444545</v>
      </c>
    </row>
    <row r="37" spans="2:17" ht="21" x14ac:dyDescent="0.25">
      <c r="B37" s="938">
        <v>12</v>
      </c>
      <c r="C37" s="629">
        <v>45654</v>
      </c>
      <c r="D37" s="629">
        <v>45657</v>
      </c>
      <c r="E37" s="630">
        <f>+E36-L37</f>
        <v>630900000</v>
      </c>
      <c r="F37" s="631">
        <v>0.02</v>
      </c>
      <c r="G37" s="632">
        <f t="shared" ref="G37" si="8">+D37-C37+1</f>
        <v>4</v>
      </c>
      <c r="H37" s="633">
        <v>360</v>
      </c>
      <c r="I37" s="630">
        <v>4100000</v>
      </c>
      <c r="J37" s="634">
        <f t="shared" ref="J37" si="9">E37*F37*G37/H37</f>
        <v>140200</v>
      </c>
      <c r="K37" s="634">
        <f>I37+J37</f>
        <v>4240200</v>
      </c>
      <c r="L37" s="634">
        <v>4100000</v>
      </c>
      <c r="M37" s="634">
        <v>14005166.67</v>
      </c>
      <c r="N37" s="939">
        <f>(N36+K37)-(L37+M37)</f>
        <v>-911.11444444209337</v>
      </c>
      <c r="O37" s="504">
        <f>14820000-M24</f>
        <v>14820000</v>
      </c>
      <c r="P37" s="9">
        <f>+O37-J39</f>
        <v>14820911.114444446</v>
      </c>
    </row>
    <row r="38" spans="2:17" ht="36" customHeight="1" x14ac:dyDescent="0.25">
      <c r="B38" s="448"/>
      <c r="C38" s="399"/>
      <c r="D38" s="399"/>
      <c r="E38" s="400" t="s">
        <v>30</v>
      </c>
      <c r="F38" s="401" t="s">
        <v>30</v>
      </c>
      <c r="G38" s="402">
        <f>SUM(G20:G37)</f>
        <v>366</v>
      </c>
      <c r="H38" s="402"/>
      <c r="I38" s="403">
        <f>SUM(I20:I37)</f>
        <v>110100000</v>
      </c>
      <c r="J38" s="400">
        <f>SUM(J20:J37)</f>
        <v>14004255.555555554</v>
      </c>
      <c r="K38" s="400">
        <f>SUM(K20:K37)</f>
        <v>124104255.55555558</v>
      </c>
      <c r="L38" s="400">
        <f>SUM(L20:L37)</f>
        <v>110100000</v>
      </c>
      <c r="M38" s="400">
        <f>SUM(M20:M37)</f>
        <v>14173596.4</v>
      </c>
      <c r="N38" s="400">
        <f>+N37</f>
        <v>-911.11444444209337</v>
      </c>
      <c r="O38" s="404">
        <f>+O36-N38</f>
        <v>14652481.384444442</v>
      </c>
      <c r="P38" s="766">
        <v>13991277.7777778</v>
      </c>
    </row>
    <row r="39" spans="2:17" ht="24.75" customHeight="1" x14ac:dyDescent="0.4">
      <c r="B39" s="389"/>
      <c r="C39" s="389"/>
      <c r="D39" s="389"/>
      <c r="E39" s="103"/>
      <c r="F39" s="103"/>
      <c r="G39" s="103"/>
      <c r="H39" s="103"/>
      <c r="I39" s="913"/>
      <c r="J39" s="391">
        <f>+J38-M37</f>
        <v>-911.11444444581866</v>
      </c>
      <c r="K39" s="392"/>
      <c r="L39" s="20"/>
      <c r="M39" s="9"/>
      <c r="N39" s="9"/>
      <c r="O39" s="9"/>
      <c r="P39" s="767"/>
      <c r="Q39" s="14"/>
    </row>
    <row r="40" spans="2:17" ht="49.5" customHeight="1" x14ac:dyDescent="0.25">
      <c r="B40" s="1101" t="s">
        <v>152</v>
      </c>
      <c r="C40" s="1101"/>
      <c r="D40" s="1101"/>
      <c r="E40" s="1101"/>
      <c r="F40" s="1101"/>
      <c r="G40" s="1101"/>
      <c r="H40" s="1101"/>
      <c r="I40" s="1101"/>
      <c r="J40" s="1101"/>
      <c r="K40" s="1101"/>
      <c r="L40" s="1101"/>
      <c r="M40" s="1101"/>
      <c r="N40" s="1101"/>
      <c r="O40" s="2"/>
    </row>
    <row r="41" spans="2:17" ht="22.5" customHeight="1" thickBot="1" x14ac:dyDescent="0.35">
      <c r="B41" s="451"/>
      <c r="C41" s="452"/>
      <c r="D41" s="452"/>
      <c r="E41" s="452"/>
      <c r="F41" s="452"/>
      <c r="G41" s="452"/>
      <c r="H41" s="452"/>
      <c r="I41" s="453"/>
      <c r="J41" s="452"/>
      <c r="K41" s="452"/>
      <c r="L41" s="452"/>
      <c r="M41" s="452"/>
      <c r="N41" s="454" t="s">
        <v>20</v>
      </c>
      <c r="O41" s="450" t="s">
        <v>145</v>
      </c>
    </row>
    <row r="42" spans="2:17" ht="43.5" customHeight="1" thickBot="1" x14ac:dyDescent="0.3">
      <c r="B42" s="1088" t="s">
        <v>15</v>
      </c>
      <c r="C42" s="1084" t="s">
        <v>24</v>
      </c>
      <c r="D42" s="1085"/>
      <c r="E42" s="1088" t="s">
        <v>25</v>
      </c>
      <c r="F42" s="1090" t="s">
        <v>18</v>
      </c>
      <c r="G42" s="1090" t="s">
        <v>31</v>
      </c>
      <c r="H42" s="1090" t="s">
        <v>26</v>
      </c>
      <c r="I42" s="1123" t="s">
        <v>104</v>
      </c>
      <c r="J42" s="1124"/>
      <c r="K42" s="1125"/>
      <c r="L42" s="1090" t="s">
        <v>17</v>
      </c>
      <c r="M42" s="1090" t="s">
        <v>71</v>
      </c>
      <c r="N42" s="1090" t="s">
        <v>114</v>
      </c>
    </row>
    <row r="43" spans="2:17" ht="56.25" customHeight="1" thickBot="1" x14ac:dyDescent="0.3">
      <c r="B43" s="1089"/>
      <c r="C43" s="1086"/>
      <c r="D43" s="1087"/>
      <c r="E43" s="1089"/>
      <c r="F43" s="1091"/>
      <c r="G43" s="1091"/>
      <c r="H43" s="1091"/>
      <c r="I43" s="455" t="s">
        <v>58</v>
      </c>
      <c r="J43" s="456" t="s">
        <v>55</v>
      </c>
      <c r="K43" s="457" t="s">
        <v>29</v>
      </c>
      <c r="L43" s="1091"/>
      <c r="M43" s="1091"/>
      <c r="N43" s="1091"/>
    </row>
    <row r="44" spans="2:17" ht="18" x14ac:dyDescent="0.25">
      <c r="B44" s="458">
        <v>1</v>
      </c>
      <c r="C44" s="459">
        <v>44927</v>
      </c>
      <c r="D44" s="459">
        <v>44957</v>
      </c>
      <c r="E44" s="460">
        <v>847000000</v>
      </c>
      <c r="F44" s="461">
        <v>0.02</v>
      </c>
      <c r="G44" s="462">
        <f>D44-C44</f>
        <v>30</v>
      </c>
      <c r="H44" s="463">
        <v>360</v>
      </c>
      <c r="I44" s="460">
        <v>0</v>
      </c>
      <c r="J44" s="460">
        <f t="shared" ref="J44:J70" si="10">E44*F44*G44/H44</f>
        <v>1411666.6666666667</v>
      </c>
      <c r="K44" s="460">
        <f t="shared" ref="K44:K55" si="11">I44+J44</f>
        <v>1411666.6666666667</v>
      </c>
      <c r="L44" s="460"/>
      <c r="M44" s="464">
        <v>0</v>
      </c>
      <c r="N44" s="460">
        <f>+K44-L44-M44</f>
        <v>1411666.6666666667</v>
      </c>
    </row>
    <row r="45" spans="2:17" ht="18" x14ac:dyDescent="0.25">
      <c r="B45" s="465">
        <v>2</v>
      </c>
      <c r="C45" s="466">
        <v>44958</v>
      </c>
      <c r="D45" s="466">
        <v>44985</v>
      </c>
      <c r="E45" s="467">
        <f>E44-L45</f>
        <v>847000000</v>
      </c>
      <c r="F45" s="468">
        <v>0.02</v>
      </c>
      <c r="G45" s="469">
        <f>D45-C45+3</f>
        <v>30</v>
      </c>
      <c r="H45" s="470">
        <v>360</v>
      </c>
      <c r="I45" s="467">
        <v>0</v>
      </c>
      <c r="J45" s="467">
        <f t="shared" si="10"/>
        <v>1411666.6666666667</v>
      </c>
      <c r="K45" s="467">
        <f t="shared" si="11"/>
        <v>1411666.6666666667</v>
      </c>
      <c r="L45" s="467"/>
      <c r="M45" s="471">
        <v>0</v>
      </c>
      <c r="N45" s="467">
        <f>N44+K45</f>
        <v>2823333.3333333335</v>
      </c>
    </row>
    <row r="46" spans="2:17" ht="18" x14ac:dyDescent="0.25">
      <c r="B46" s="1079">
        <v>3</v>
      </c>
      <c r="C46" s="466">
        <v>44986</v>
      </c>
      <c r="D46" s="466">
        <v>45013</v>
      </c>
      <c r="E46" s="467">
        <f>E45-L46</f>
        <v>847000000</v>
      </c>
      <c r="F46" s="468">
        <v>0.02</v>
      </c>
      <c r="G46" s="469">
        <f>D46-C46+1</f>
        <v>28</v>
      </c>
      <c r="H46" s="470">
        <v>360</v>
      </c>
      <c r="I46" s="467">
        <v>0</v>
      </c>
      <c r="J46" s="467">
        <f t="shared" si="10"/>
        <v>1317555.5555555555</v>
      </c>
      <c r="K46" s="467">
        <f t="shared" si="11"/>
        <v>1317555.5555555555</v>
      </c>
      <c r="L46" s="467"/>
      <c r="M46" s="471">
        <v>0</v>
      </c>
      <c r="N46" s="467">
        <f>N45+K46</f>
        <v>4140888.888888889</v>
      </c>
      <c r="O46" s="154"/>
      <c r="P46" s="154"/>
    </row>
    <row r="47" spans="2:17" ht="18" x14ac:dyDescent="0.25">
      <c r="B47" s="1079"/>
      <c r="C47" s="466">
        <v>45014</v>
      </c>
      <c r="D47" s="466">
        <v>45014</v>
      </c>
      <c r="E47" s="467">
        <f>E46-L47</f>
        <v>812000000</v>
      </c>
      <c r="F47" s="468">
        <v>0.02</v>
      </c>
      <c r="G47" s="467">
        <v>1</v>
      </c>
      <c r="H47" s="470">
        <v>360</v>
      </c>
      <c r="I47" s="467">
        <v>0</v>
      </c>
      <c r="J47" s="467">
        <f t="shared" si="10"/>
        <v>45111.111111111109</v>
      </c>
      <c r="K47" s="467">
        <f t="shared" si="11"/>
        <v>45111.111111111109</v>
      </c>
      <c r="L47" s="472">
        <v>35000000</v>
      </c>
      <c r="M47" s="471">
        <v>0</v>
      </c>
      <c r="N47" s="467">
        <f>N46+K47</f>
        <v>4186000</v>
      </c>
      <c r="O47" s="154"/>
      <c r="P47" s="154"/>
    </row>
    <row r="48" spans="2:17" ht="18.75" thickBot="1" x14ac:dyDescent="0.3">
      <c r="B48" s="1080"/>
      <c r="C48" s="473">
        <v>45015</v>
      </c>
      <c r="D48" s="474">
        <v>45016</v>
      </c>
      <c r="E48" s="475">
        <f>E47</f>
        <v>812000000</v>
      </c>
      <c r="F48" s="476">
        <v>0.02</v>
      </c>
      <c r="G48" s="475">
        <v>1</v>
      </c>
      <c r="H48" s="477">
        <v>360</v>
      </c>
      <c r="I48" s="478">
        <v>35000000</v>
      </c>
      <c r="J48" s="475">
        <f t="shared" si="10"/>
        <v>45111.111111111109</v>
      </c>
      <c r="K48" s="475">
        <f t="shared" si="11"/>
        <v>35045111.111111112</v>
      </c>
      <c r="L48" s="475"/>
      <c r="M48" s="479">
        <v>0</v>
      </c>
      <c r="N48" s="475">
        <f>N47+K48-L47</f>
        <v>4231111.1111111119</v>
      </c>
      <c r="O48" s="155"/>
      <c r="P48" s="155"/>
    </row>
    <row r="49" spans="2:17" ht="18" x14ac:dyDescent="0.25">
      <c r="B49" s="458">
        <v>4</v>
      </c>
      <c r="C49" s="459">
        <v>45017</v>
      </c>
      <c r="D49" s="459">
        <v>45046</v>
      </c>
      <c r="E49" s="460">
        <f>E47-L49</f>
        <v>812000000</v>
      </c>
      <c r="F49" s="461">
        <v>0.02</v>
      </c>
      <c r="G49" s="462">
        <f>D49-C49+1</f>
        <v>30</v>
      </c>
      <c r="H49" s="463">
        <v>360</v>
      </c>
      <c r="I49" s="460">
        <v>0</v>
      </c>
      <c r="J49" s="460">
        <f t="shared" si="10"/>
        <v>1353333.3333333333</v>
      </c>
      <c r="K49" s="460">
        <f t="shared" si="11"/>
        <v>1353333.3333333333</v>
      </c>
      <c r="L49" s="460"/>
      <c r="M49" s="464">
        <v>0</v>
      </c>
      <c r="N49" s="460">
        <f>N48+K49</f>
        <v>5584444.444444445</v>
      </c>
      <c r="O49" s="156"/>
      <c r="P49" s="156"/>
    </row>
    <row r="50" spans="2:17" ht="18" x14ac:dyDescent="0.25">
      <c r="B50" s="1079">
        <v>5</v>
      </c>
      <c r="C50" s="466">
        <v>45047</v>
      </c>
      <c r="D50" s="466">
        <v>45069</v>
      </c>
      <c r="E50" s="467">
        <f>E49-L50</f>
        <v>812000000</v>
      </c>
      <c r="F50" s="468">
        <v>0.02</v>
      </c>
      <c r="G50" s="469">
        <f>+D50-C50+1</f>
        <v>23</v>
      </c>
      <c r="H50" s="470">
        <v>360</v>
      </c>
      <c r="I50" s="467">
        <v>0</v>
      </c>
      <c r="J50" s="467">
        <f t="shared" si="10"/>
        <v>1037555.5555555555</v>
      </c>
      <c r="K50" s="467">
        <f t="shared" si="11"/>
        <v>1037555.5555555555</v>
      </c>
      <c r="L50" s="467"/>
      <c r="M50" s="471">
        <v>0</v>
      </c>
      <c r="N50" s="467">
        <f>N49+K50</f>
        <v>6622000</v>
      </c>
      <c r="O50" s="156"/>
      <c r="P50" s="156"/>
    </row>
    <row r="51" spans="2:17" ht="18" x14ac:dyDescent="0.25">
      <c r="B51" s="1079"/>
      <c r="C51" s="466">
        <v>45070</v>
      </c>
      <c r="D51" s="466">
        <v>45077</v>
      </c>
      <c r="E51" s="467">
        <f>+E50-L51</f>
        <v>770858473</v>
      </c>
      <c r="F51" s="468">
        <v>0.02</v>
      </c>
      <c r="G51" s="467">
        <f>+D51-C51</f>
        <v>7</v>
      </c>
      <c r="H51" s="470">
        <v>360</v>
      </c>
      <c r="I51" s="467">
        <v>0</v>
      </c>
      <c r="J51" s="467">
        <f t="shared" si="10"/>
        <v>299778.29505555553</v>
      </c>
      <c r="K51" s="467">
        <f t="shared" si="11"/>
        <v>299778.29505555553</v>
      </c>
      <c r="L51" s="472">
        <v>41141527</v>
      </c>
      <c r="M51" s="471">
        <v>0</v>
      </c>
      <c r="N51" s="467">
        <f>N50+K51</f>
        <v>6921778.2950555552</v>
      </c>
      <c r="O51" s="19"/>
      <c r="P51" s="19"/>
      <c r="Q51" s="9"/>
    </row>
    <row r="52" spans="2:17" ht="18" x14ac:dyDescent="0.25">
      <c r="B52" s="1121">
        <v>6</v>
      </c>
      <c r="C52" s="466">
        <v>45078</v>
      </c>
      <c r="D52" s="466">
        <v>45106</v>
      </c>
      <c r="E52" s="467">
        <f>+E51-L52</f>
        <v>770858473</v>
      </c>
      <c r="F52" s="468">
        <v>0.02</v>
      </c>
      <c r="G52" s="480">
        <f>+D52-C52+1</f>
        <v>29</v>
      </c>
      <c r="H52" s="470">
        <v>360</v>
      </c>
      <c r="I52" s="467">
        <v>0</v>
      </c>
      <c r="J52" s="467">
        <f t="shared" si="10"/>
        <v>1241938.6509444446</v>
      </c>
      <c r="K52" s="467">
        <f t="shared" si="11"/>
        <v>1241938.6509444446</v>
      </c>
      <c r="L52" s="467"/>
      <c r="M52" s="471">
        <v>0</v>
      </c>
      <c r="N52" s="467">
        <f>N51+K52</f>
        <v>8163716.9459999995</v>
      </c>
      <c r="O52" s="156"/>
      <c r="P52" s="156"/>
    </row>
    <row r="53" spans="2:17" ht="18.75" thickBot="1" x14ac:dyDescent="0.3">
      <c r="B53" s="1122"/>
      <c r="C53" s="473">
        <v>45107</v>
      </c>
      <c r="D53" s="474">
        <v>45107</v>
      </c>
      <c r="E53" s="475">
        <f>+E52-L53</f>
        <v>770858473</v>
      </c>
      <c r="F53" s="476">
        <v>0.02</v>
      </c>
      <c r="G53" s="475">
        <f>+D53-C53+1</f>
        <v>1</v>
      </c>
      <c r="H53" s="477">
        <v>360</v>
      </c>
      <c r="I53" s="478">
        <v>36000000</v>
      </c>
      <c r="J53" s="475">
        <f t="shared" si="10"/>
        <v>42825.470722222228</v>
      </c>
      <c r="K53" s="475">
        <f t="shared" si="11"/>
        <v>36042825.470722221</v>
      </c>
      <c r="L53" s="475"/>
      <c r="M53" s="479">
        <v>0</v>
      </c>
      <c r="N53" s="475">
        <f>N52+K53-L51</f>
        <v>3065015.4167222232</v>
      </c>
      <c r="O53" s="19"/>
      <c r="P53" s="19"/>
    </row>
    <row r="54" spans="2:17" ht="18" x14ac:dyDescent="0.25">
      <c r="B54" s="458">
        <v>7</v>
      </c>
      <c r="C54" s="459">
        <v>45108</v>
      </c>
      <c r="D54" s="459">
        <v>45138</v>
      </c>
      <c r="E54" s="460">
        <f>+E52-L54</f>
        <v>770858473</v>
      </c>
      <c r="F54" s="461">
        <v>0.02</v>
      </c>
      <c r="G54" s="481">
        <f>+D54-C54</f>
        <v>30</v>
      </c>
      <c r="H54" s="463">
        <v>360</v>
      </c>
      <c r="I54" s="460">
        <v>0</v>
      </c>
      <c r="J54" s="460">
        <f t="shared" si="10"/>
        <v>1284764.1216666666</v>
      </c>
      <c r="K54" s="460">
        <f t="shared" si="11"/>
        <v>1284764.1216666666</v>
      </c>
      <c r="L54" s="460"/>
      <c r="M54" s="464">
        <v>0</v>
      </c>
      <c r="N54" s="460">
        <f>N53+K54</f>
        <v>4349779.5383888893</v>
      </c>
      <c r="O54" s="19"/>
      <c r="P54" s="19"/>
    </row>
    <row r="55" spans="2:17" ht="18" x14ac:dyDescent="0.25">
      <c r="B55" s="1079">
        <v>8</v>
      </c>
      <c r="C55" s="466">
        <v>45139</v>
      </c>
      <c r="D55" s="466">
        <v>45167</v>
      </c>
      <c r="E55" s="467">
        <f t="shared" ref="E55:E60" si="12">+E54-L55</f>
        <v>770858473</v>
      </c>
      <c r="F55" s="468">
        <v>0.02</v>
      </c>
      <c r="G55" s="480">
        <f>+D55-C55</f>
        <v>28</v>
      </c>
      <c r="H55" s="470">
        <v>360</v>
      </c>
      <c r="I55" s="467">
        <v>0</v>
      </c>
      <c r="J55" s="467">
        <f t="shared" si="10"/>
        <v>1199113.1802222221</v>
      </c>
      <c r="K55" s="467">
        <f t="shared" si="11"/>
        <v>1199113.1802222221</v>
      </c>
      <c r="L55" s="467"/>
      <c r="M55" s="471">
        <v>0</v>
      </c>
      <c r="N55" s="467">
        <f>N54+K55</f>
        <v>5548892.7186111119</v>
      </c>
      <c r="O55" s="156"/>
      <c r="P55" s="156"/>
    </row>
    <row r="56" spans="2:17" ht="18" x14ac:dyDescent="0.25">
      <c r="B56" s="1079"/>
      <c r="C56" s="466">
        <v>45168</v>
      </c>
      <c r="D56" s="466">
        <v>45169</v>
      </c>
      <c r="E56" s="467">
        <f t="shared" si="12"/>
        <v>758858473</v>
      </c>
      <c r="F56" s="468">
        <v>0.02</v>
      </c>
      <c r="G56" s="480">
        <f t="shared" ref="G56:G68" si="13">+D56-C56+1</f>
        <v>2</v>
      </c>
      <c r="H56" s="470">
        <v>360</v>
      </c>
      <c r="I56" s="467">
        <v>0</v>
      </c>
      <c r="J56" s="467">
        <f t="shared" si="10"/>
        <v>84317.608111111113</v>
      </c>
      <c r="K56" s="467">
        <f>+I56+J56</f>
        <v>84317.608111111113</v>
      </c>
      <c r="L56" s="472">
        <v>12000000</v>
      </c>
      <c r="M56" s="471">
        <v>0</v>
      </c>
      <c r="N56" s="467">
        <f>N55+K56</f>
        <v>5633210.3267222233</v>
      </c>
      <c r="O56" s="19"/>
      <c r="P56" s="19"/>
    </row>
    <row r="57" spans="2:17" ht="18" x14ac:dyDescent="0.25">
      <c r="B57" s="1079">
        <v>9</v>
      </c>
      <c r="C57" s="466">
        <v>45170</v>
      </c>
      <c r="D57" s="466">
        <v>45174</v>
      </c>
      <c r="E57" s="467">
        <f t="shared" si="12"/>
        <v>758858473</v>
      </c>
      <c r="F57" s="468">
        <v>0.02</v>
      </c>
      <c r="G57" s="480">
        <f t="shared" si="13"/>
        <v>5</v>
      </c>
      <c r="H57" s="470">
        <v>360</v>
      </c>
      <c r="I57" s="467">
        <v>0</v>
      </c>
      <c r="J57" s="467">
        <f t="shared" si="10"/>
        <v>210794.0202777778</v>
      </c>
      <c r="K57" s="467">
        <f>I57+J57</f>
        <v>210794.0202777778</v>
      </c>
      <c r="L57" s="482"/>
      <c r="M57" s="471">
        <v>0</v>
      </c>
      <c r="N57" s="467">
        <f>N56+K57</f>
        <v>5844004.347000001</v>
      </c>
      <c r="O57" s="19"/>
      <c r="P57" s="19"/>
    </row>
    <row r="58" spans="2:17" ht="18" x14ac:dyDescent="0.25">
      <c r="B58" s="1079"/>
      <c r="C58" s="466">
        <v>45175</v>
      </c>
      <c r="D58" s="466">
        <v>45175</v>
      </c>
      <c r="E58" s="467">
        <f t="shared" si="12"/>
        <v>751000000</v>
      </c>
      <c r="F58" s="468">
        <v>0.02</v>
      </c>
      <c r="G58" s="480">
        <f t="shared" si="13"/>
        <v>1</v>
      </c>
      <c r="H58" s="470">
        <v>360</v>
      </c>
      <c r="I58" s="467">
        <v>0</v>
      </c>
      <c r="J58" s="467">
        <f t="shared" si="10"/>
        <v>41722.222222222219</v>
      </c>
      <c r="K58" s="467">
        <f>+J58+I58</f>
        <v>41722.222222222219</v>
      </c>
      <c r="L58" s="472">
        <v>7858473</v>
      </c>
      <c r="M58" s="471">
        <v>0</v>
      </c>
      <c r="N58" s="467">
        <f>N57+K58</f>
        <v>5885726.569222223</v>
      </c>
      <c r="O58" s="19"/>
      <c r="P58" s="19"/>
    </row>
    <row r="59" spans="2:17" ht="18" x14ac:dyDescent="0.25">
      <c r="B59" s="1079"/>
      <c r="C59" s="466">
        <v>45176</v>
      </c>
      <c r="D59" s="466">
        <v>45198</v>
      </c>
      <c r="E59" s="467">
        <f t="shared" si="12"/>
        <v>751000000</v>
      </c>
      <c r="F59" s="468">
        <v>0.02</v>
      </c>
      <c r="G59" s="480">
        <f t="shared" si="13"/>
        <v>23</v>
      </c>
      <c r="H59" s="470">
        <v>360</v>
      </c>
      <c r="I59" s="467">
        <v>0</v>
      </c>
      <c r="J59" s="467">
        <f t="shared" si="10"/>
        <v>959611.11111111112</v>
      </c>
      <c r="K59" s="467">
        <f>+J59+I59</f>
        <v>959611.11111111112</v>
      </c>
      <c r="L59" s="471"/>
      <c r="M59" s="483">
        <v>11293332</v>
      </c>
      <c r="N59" s="467">
        <f>N58+K59-M59</f>
        <v>-4447994.319666666</v>
      </c>
      <c r="O59" s="19"/>
      <c r="P59" s="19"/>
    </row>
    <row r="60" spans="2:17" ht="18.75" thickBot="1" x14ac:dyDescent="0.3">
      <c r="B60" s="1080"/>
      <c r="C60" s="473">
        <v>45199</v>
      </c>
      <c r="D60" s="474">
        <v>45199</v>
      </c>
      <c r="E60" s="475">
        <f t="shared" si="12"/>
        <v>751000000</v>
      </c>
      <c r="F60" s="476">
        <v>0.02</v>
      </c>
      <c r="G60" s="484">
        <f t="shared" si="13"/>
        <v>1</v>
      </c>
      <c r="H60" s="477">
        <v>360</v>
      </c>
      <c r="I60" s="478">
        <v>25000000</v>
      </c>
      <c r="J60" s="475">
        <f t="shared" si="10"/>
        <v>41722.222222222219</v>
      </c>
      <c r="K60" s="475">
        <f>+J60+I60</f>
        <v>25041722.222222224</v>
      </c>
      <c r="L60" s="479"/>
      <c r="M60" s="485">
        <v>0</v>
      </c>
      <c r="N60" s="475">
        <f>N59+K60-L56-L58</f>
        <v>735254.90255555883</v>
      </c>
      <c r="O60" s="19"/>
      <c r="P60" s="19"/>
    </row>
    <row r="61" spans="2:17" ht="18" x14ac:dyDescent="0.25">
      <c r="B61" s="1092">
        <v>10</v>
      </c>
      <c r="C61" s="459">
        <v>45200</v>
      </c>
      <c r="D61" s="459">
        <v>45218</v>
      </c>
      <c r="E61" s="460">
        <f>+E59-L61</f>
        <v>751000000</v>
      </c>
      <c r="F61" s="461">
        <v>0.02</v>
      </c>
      <c r="G61" s="481">
        <f>+D61-C61+1</f>
        <v>19</v>
      </c>
      <c r="H61" s="463">
        <v>360</v>
      </c>
      <c r="I61" s="460">
        <v>0</v>
      </c>
      <c r="J61" s="460">
        <f t="shared" si="10"/>
        <v>792722.22222222225</v>
      </c>
      <c r="K61" s="460">
        <f>I61+J61</f>
        <v>792722.22222222225</v>
      </c>
      <c r="L61" s="464"/>
      <c r="M61" s="486">
        <v>0</v>
      </c>
      <c r="N61" s="460">
        <f t="shared" ref="N61:N67" si="14">N60+K61</f>
        <v>1527977.1247777811</v>
      </c>
      <c r="O61" s="19"/>
      <c r="P61" s="19"/>
    </row>
    <row r="62" spans="2:17" ht="18" x14ac:dyDescent="0.25">
      <c r="B62" s="1079"/>
      <c r="C62" s="466">
        <v>45219</v>
      </c>
      <c r="D62" s="466">
        <v>45223</v>
      </c>
      <c r="E62" s="467">
        <f t="shared" ref="E62:E67" si="15">+E61-L62</f>
        <v>749000000</v>
      </c>
      <c r="F62" s="468">
        <v>0.02</v>
      </c>
      <c r="G62" s="480">
        <f>+D62-C62</f>
        <v>4</v>
      </c>
      <c r="H62" s="470">
        <v>360</v>
      </c>
      <c r="I62" s="467">
        <v>0</v>
      </c>
      <c r="J62" s="467">
        <f t="shared" si="10"/>
        <v>166444.44444444444</v>
      </c>
      <c r="K62" s="467">
        <f>+I62+J62</f>
        <v>166444.44444444444</v>
      </c>
      <c r="L62" s="472">
        <v>2000000</v>
      </c>
      <c r="M62" s="482">
        <v>0</v>
      </c>
      <c r="N62" s="467">
        <f t="shared" si="14"/>
        <v>1694421.5692222256</v>
      </c>
      <c r="O62" s="19"/>
      <c r="P62" s="19"/>
    </row>
    <row r="63" spans="2:17" ht="18" x14ac:dyDescent="0.25">
      <c r="B63" s="1079"/>
      <c r="C63" s="466">
        <v>45224</v>
      </c>
      <c r="D63" s="466">
        <v>45230</v>
      </c>
      <c r="E63" s="467">
        <f t="shared" si="15"/>
        <v>747000000</v>
      </c>
      <c r="F63" s="468">
        <v>0.02</v>
      </c>
      <c r="G63" s="480">
        <f>+D63-C63+1</f>
        <v>7</v>
      </c>
      <c r="H63" s="470">
        <v>360</v>
      </c>
      <c r="I63" s="467">
        <v>0</v>
      </c>
      <c r="J63" s="467">
        <f t="shared" si="10"/>
        <v>290500</v>
      </c>
      <c r="K63" s="467">
        <f>+I63+J63</f>
        <v>290500</v>
      </c>
      <c r="L63" s="472">
        <v>2000000</v>
      </c>
      <c r="M63" s="482">
        <v>0</v>
      </c>
      <c r="N63" s="467">
        <f t="shared" si="14"/>
        <v>1984921.5692222256</v>
      </c>
      <c r="O63" s="19"/>
      <c r="P63" s="19"/>
    </row>
    <row r="64" spans="2:17" ht="18" x14ac:dyDescent="0.25">
      <c r="B64" s="1079">
        <v>11</v>
      </c>
      <c r="C64" s="466">
        <v>45231</v>
      </c>
      <c r="D64" s="466">
        <v>45231</v>
      </c>
      <c r="E64" s="467">
        <f t="shared" si="15"/>
        <v>747000000</v>
      </c>
      <c r="F64" s="468">
        <v>0.02</v>
      </c>
      <c r="G64" s="480">
        <f>+D64-C64+1</f>
        <v>1</v>
      </c>
      <c r="H64" s="470">
        <v>360</v>
      </c>
      <c r="I64" s="467">
        <v>0</v>
      </c>
      <c r="J64" s="467">
        <f t="shared" si="10"/>
        <v>41500</v>
      </c>
      <c r="K64" s="467">
        <f>+I64+J64</f>
        <v>41500</v>
      </c>
      <c r="L64" s="467"/>
      <c r="M64" s="482">
        <v>0</v>
      </c>
      <c r="N64" s="467">
        <f t="shared" si="14"/>
        <v>2026421.5692222256</v>
      </c>
      <c r="O64" s="19"/>
      <c r="P64" s="19"/>
    </row>
    <row r="65" spans="2:16" ht="18" x14ac:dyDescent="0.25">
      <c r="B65" s="1079"/>
      <c r="C65" s="466">
        <v>45232</v>
      </c>
      <c r="D65" s="466">
        <v>45239</v>
      </c>
      <c r="E65" s="467">
        <f t="shared" si="15"/>
        <v>745000000</v>
      </c>
      <c r="F65" s="468">
        <v>0.02</v>
      </c>
      <c r="G65" s="480">
        <f>+D65-C65+1</f>
        <v>8</v>
      </c>
      <c r="H65" s="470">
        <v>360</v>
      </c>
      <c r="I65" s="467">
        <v>0</v>
      </c>
      <c r="J65" s="467">
        <f t="shared" si="10"/>
        <v>331111.11111111112</v>
      </c>
      <c r="K65" s="467">
        <f>+I65+J65</f>
        <v>331111.11111111112</v>
      </c>
      <c r="L65" s="472">
        <v>2000000</v>
      </c>
      <c r="M65" s="482">
        <v>0</v>
      </c>
      <c r="N65" s="467">
        <f t="shared" si="14"/>
        <v>2357532.6803333368</v>
      </c>
      <c r="O65" s="19"/>
      <c r="P65" s="19"/>
    </row>
    <row r="66" spans="2:16" ht="18" x14ac:dyDescent="0.25">
      <c r="B66" s="1079"/>
      <c r="C66" s="466">
        <v>45240</v>
      </c>
      <c r="D66" s="466">
        <v>45249</v>
      </c>
      <c r="E66" s="467">
        <f t="shared" si="15"/>
        <v>743000000</v>
      </c>
      <c r="F66" s="468">
        <v>0.02</v>
      </c>
      <c r="G66" s="480">
        <f>+D66-C66+1</f>
        <v>10</v>
      </c>
      <c r="H66" s="470">
        <v>360</v>
      </c>
      <c r="I66" s="467">
        <v>0</v>
      </c>
      <c r="J66" s="467">
        <f t="shared" si="10"/>
        <v>412777.77777777775</v>
      </c>
      <c r="K66" s="467">
        <f>+I66+J66</f>
        <v>412777.77777777775</v>
      </c>
      <c r="L66" s="472">
        <v>2000000</v>
      </c>
      <c r="M66" s="482">
        <v>0</v>
      </c>
      <c r="N66" s="467">
        <f t="shared" si="14"/>
        <v>2770310.4581111148</v>
      </c>
      <c r="O66" s="19"/>
      <c r="P66" s="19"/>
    </row>
    <row r="67" spans="2:16" ht="18" x14ac:dyDescent="0.25">
      <c r="B67" s="1079"/>
      <c r="C67" s="466">
        <v>45250</v>
      </c>
      <c r="D67" s="466">
        <v>45259</v>
      </c>
      <c r="E67" s="467">
        <f t="shared" si="15"/>
        <v>741000000</v>
      </c>
      <c r="F67" s="468">
        <v>0.02</v>
      </c>
      <c r="G67" s="480">
        <f t="shared" si="13"/>
        <v>10</v>
      </c>
      <c r="H67" s="470">
        <v>360</v>
      </c>
      <c r="I67" s="467">
        <v>0</v>
      </c>
      <c r="J67" s="467">
        <f t="shared" si="10"/>
        <v>411666.66666666669</v>
      </c>
      <c r="K67" s="467">
        <f>I67+J67</f>
        <v>411666.66666666669</v>
      </c>
      <c r="L67" s="472">
        <v>2000000</v>
      </c>
      <c r="M67" s="482">
        <v>0</v>
      </c>
      <c r="N67" s="467">
        <f t="shared" si="14"/>
        <v>3181977.1247777813</v>
      </c>
      <c r="O67" s="19"/>
      <c r="P67" s="19"/>
    </row>
    <row r="68" spans="2:16" ht="18.75" thickBot="1" x14ac:dyDescent="0.3">
      <c r="B68" s="1080"/>
      <c r="C68" s="473">
        <v>45260</v>
      </c>
      <c r="D68" s="474">
        <v>45260</v>
      </c>
      <c r="E68" s="475">
        <f>+E67</f>
        <v>741000000</v>
      </c>
      <c r="F68" s="476">
        <v>0.02</v>
      </c>
      <c r="G68" s="484">
        <f t="shared" si="13"/>
        <v>1</v>
      </c>
      <c r="H68" s="477">
        <v>360</v>
      </c>
      <c r="I68" s="478">
        <v>10000000</v>
      </c>
      <c r="J68" s="475">
        <f t="shared" si="10"/>
        <v>41166.666666666664</v>
      </c>
      <c r="K68" s="475">
        <f>I68+J68</f>
        <v>10041166.666666666</v>
      </c>
      <c r="L68" s="475"/>
      <c r="M68" s="485">
        <v>0</v>
      </c>
      <c r="N68" s="475">
        <f>N67+K68-L62-L63-L65-L66-L67</f>
        <v>3223143.7914444469</v>
      </c>
      <c r="O68" s="19"/>
      <c r="P68" s="19"/>
    </row>
    <row r="69" spans="2:16" ht="18" x14ac:dyDescent="0.25">
      <c r="B69" s="1115">
        <v>12</v>
      </c>
      <c r="C69" s="487">
        <v>45261</v>
      </c>
      <c r="D69" s="487">
        <v>45285</v>
      </c>
      <c r="E69" s="488">
        <f>+E68-L69</f>
        <v>741000000</v>
      </c>
      <c r="F69" s="489">
        <v>0.02</v>
      </c>
      <c r="G69" s="490">
        <f>+D69-C69</f>
        <v>24</v>
      </c>
      <c r="H69" s="491">
        <v>360</v>
      </c>
      <c r="I69" s="488"/>
      <c r="J69" s="488">
        <f t="shared" si="10"/>
        <v>988000</v>
      </c>
      <c r="K69" s="488">
        <f>I69+J69</f>
        <v>988000</v>
      </c>
      <c r="L69" s="488"/>
      <c r="M69" s="492">
        <v>0</v>
      </c>
      <c r="N69" s="488">
        <f>N68+K69</f>
        <v>4211143.7914444469</v>
      </c>
    </row>
    <row r="70" spans="2:16" ht="18" x14ac:dyDescent="0.25">
      <c r="B70" s="1116"/>
      <c r="C70" s="466">
        <v>45286</v>
      </c>
      <c r="D70" s="466">
        <v>45291</v>
      </c>
      <c r="E70" s="467">
        <f>+E69-L70</f>
        <v>741000000</v>
      </c>
      <c r="F70" s="468">
        <v>0.02</v>
      </c>
      <c r="G70" s="480">
        <v>6</v>
      </c>
      <c r="H70" s="470">
        <v>360</v>
      </c>
      <c r="I70" s="467"/>
      <c r="J70" s="467">
        <f t="shared" si="10"/>
        <v>247000</v>
      </c>
      <c r="K70" s="467">
        <f>I70+J70</f>
        <v>247000</v>
      </c>
      <c r="L70" s="467"/>
      <c r="M70" s="493">
        <v>4458142.79</v>
      </c>
      <c r="N70" s="494">
        <f>N69+K70-M70</f>
        <v>1.0014444468542933</v>
      </c>
      <c r="O70" s="19"/>
      <c r="P70" s="19"/>
    </row>
    <row r="71" spans="2:16" ht="24.75" customHeight="1" x14ac:dyDescent="0.25">
      <c r="B71" s="1093" t="s">
        <v>83</v>
      </c>
      <c r="C71" s="1093"/>
      <c r="D71" s="1093"/>
      <c r="E71" s="495" t="s">
        <v>30</v>
      </c>
      <c r="F71" s="496" t="s">
        <v>30</v>
      </c>
      <c r="G71" s="497">
        <f>SUM(G44:G70)</f>
        <v>360</v>
      </c>
      <c r="H71" s="498"/>
      <c r="I71" s="499">
        <f>SUM(I44:I69)</f>
        <v>106000000</v>
      </c>
      <c r="J71" s="500">
        <f>SUM(J44:J70)</f>
        <v>15751475.791444443</v>
      </c>
      <c r="K71" s="501">
        <f>SUM(K44:K69)</f>
        <v>121504475.79144445</v>
      </c>
      <c r="L71" s="499">
        <f>SUM(L44:L69)</f>
        <v>106000000</v>
      </c>
      <c r="M71" s="526">
        <f>SUM(M44:M70)</f>
        <v>15751474.789999999</v>
      </c>
      <c r="N71" s="502">
        <f>+N70</f>
        <v>1.0014444468542933</v>
      </c>
      <c r="O71" s="19"/>
      <c r="P71" s="19"/>
    </row>
    <row r="72" spans="2:16" ht="31.5" customHeight="1" x14ac:dyDescent="0.25">
      <c r="L72" s="256"/>
      <c r="M72" s="823">
        <f>+M71+M23</f>
        <v>15919904.52</v>
      </c>
      <c r="P72" s="141"/>
    </row>
    <row r="73" spans="2:16" ht="60.75" hidden="1" customHeight="1" x14ac:dyDescent="0.25">
      <c r="B73" s="1094" t="s">
        <v>150</v>
      </c>
      <c r="C73" s="1094"/>
      <c r="D73" s="1094"/>
      <c r="E73" s="1094"/>
      <c r="F73" s="1094"/>
      <c r="G73" s="1094"/>
      <c r="H73" s="1094"/>
      <c r="I73" s="1094"/>
      <c r="J73" s="1094"/>
      <c r="K73" s="1094"/>
      <c r="L73" s="1094"/>
      <c r="M73" s="1094"/>
      <c r="N73" s="1094"/>
      <c r="P73" s="141"/>
    </row>
    <row r="74" spans="2:16" ht="31.5" hidden="1" customHeight="1" thickBot="1" x14ac:dyDescent="0.35">
      <c r="B74" s="423"/>
      <c r="C74" s="116"/>
      <c r="D74" s="116"/>
      <c r="E74" s="116"/>
      <c r="F74" s="116"/>
      <c r="G74" s="116"/>
      <c r="H74" s="116"/>
      <c r="I74" s="234"/>
      <c r="J74" s="116"/>
      <c r="K74" s="116"/>
      <c r="L74" s="116"/>
      <c r="M74" s="116"/>
      <c r="N74" s="15" t="s">
        <v>20</v>
      </c>
      <c r="P74" s="141"/>
    </row>
    <row r="75" spans="2:16" ht="31.5" hidden="1" customHeight="1" thickBot="1" x14ac:dyDescent="0.3">
      <c r="B75" s="1108" t="s">
        <v>15</v>
      </c>
      <c r="C75" s="1110" t="s">
        <v>24</v>
      </c>
      <c r="D75" s="1111"/>
      <c r="E75" s="1108" t="s">
        <v>25</v>
      </c>
      <c r="F75" s="1103" t="s">
        <v>18</v>
      </c>
      <c r="G75" s="1103" t="s">
        <v>31</v>
      </c>
      <c r="H75" s="1103" t="s">
        <v>26</v>
      </c>
      <c r="I75" s="1105" t="s">
        <v>104</v>
      </c>
      <c r="J75" s="1106"/>
      <c r="K75" s="1107"/>
      <c r="L75" s="1103" t="s">
        <v>17</v>
      </c>
      <c r="M75" s="1103" t="s">
        <v>71</v>
      </c>
      <c r="N75" s="1103" t="s">
        <v>122</v>
      </c>
      <c r="O75" s="1103" t="s">
        <v>151</v>
      </c>
      <c r="P75" s="141"/>
    </row>
    <row r="76" spans="2:16" ht="31.5" hidden="1" customHeight="1" x14ac:dyDescent="0.25">
      <c r="B76" s="1109"/>
      <c r="C76" s="1112"/>
      <c r="D76" s="1113"/>
      <c r="E76" s="1109"/>
      <c r="F76" s="1104"/>
      <c r="G76" s="1104"/>
      <c r="H76" s="1104"/>
      <c r="I76" s="426" t="s">
        <v>58</v>
      </c>
      <c r="J76" s="407" t="s">
        <v>55</v>
      </c>
      <c r="K76" s="412" t="s">
        <v>29</v>
      </c>
      <c r="L76" s="1104"/>
      <c r="M76" s="1104"/>
      <c r="N76" s="1104"/>
      <c r="O76" s="1104"/>
      <c r="P76" s="141"/>
    </row>
    <row r="77" spans="2:16" ht="21.75" hidden="1" customHeight="1" x14ac:dyDescent="0.25">
      <c r="B77" s="427">
        <v>1</v>
      </c>
      <c r="C77" s="428">
        <v>44927</v>
      </c>
      <c r="D77" s="428">
        <v>44957</v>
      </c>
      <c r="E77" s="429">
        <v>847000000</v>
      </c>
      <c r="F77" s="430">
        <v>0.02</v>
      </c>
      <c r="G77" s="431">
        <f>D77-C77</f>
        <v>30</v>
      </c>
      <c r="H77" s="432">
        <v>360</v>
      </c>
      <c r="I77" s="429">
        <v>0</v>
      </c>
      <c r="J77" s="429">
        <f t="shared" ref="J77:J103" si="16">E77*F77*G77/H77</f>
        <v>1411666.6666666667</v>
      </c>
      <c r="K77" s="429">
        <f t="shared" ref="K77:K88" si="17">I77+J77</f>
        <v>1411666.6666666667</v>
      </c>
      <c r="L77" s="429"/>
      <c r="M77" s="433">
        <v>0</v>
      </c>
      <c r="N77" s="429">
        <f>+K77-L77-M77</f>
        <v>1411666.6666666667</v>
      </c>
      <c r="O77" s="429">
        <f>+J77</f>
        <v>1411666.6666666667</v>
      </c>
      <c r="P77" s="141"/>
    </row>
    <row r="78" spans="2:16" ht="22.5" hidden="1" customHeight="1" x14ac:dyDescent="0.25">
      <c r="B78" s="427">
        <v>2</v>
      </c>
      <c r="C78" s="428">
        <v>44958</v>
      </c>
      <c r="D78" s="428">
        <v>44985</v>
      </c>
      <c r="E78" s="429">
        <f>E77-L78</f>
        <v>847000000</v>
      </c>
      <c r="F78" s="430">
        <v>0.02</v>
      </c>
      <c r="G78" s="431">
        <f>D78-C78+3</f>
        <v>30</v>
      </c>
      <c r="H78" s="432">
        <v>360</v>
      </c>
      <c r="I78" s="429">
        <v>0</v>
      </c>
      <c r="J78" s="429">
        <f t="shared" si="16"/>
        <v>1411666.6666666667</v>
      </c>
      <c r="K78" s="429">
        <f t="shared" si="17"/>
        <v>1411666.6666666667</v>
      </c>
      <c r="L78" s="429"/>
      <c r="M78" s="433">
        <v>0</v>
      </c>
      <c r="N78" s="429">
        <f>N77+K78</f>
        <v>2823333.3333333335</v>
      </c>
      <c r="O78" s="429">
        <f t="shared" ref="O78:O103" si="18">+J78</f>
        <v>1411666.6666666667</v>
      </c>
      <c r="P78" s="141"/>
    </row>
    <row r="79" spans="2:16" ht="24" hidden="1" customHeight="1" x14ac:dyDescent="0.25">
      <c r="B79" s="1102">
        <v>3</v>
      </c>
      <c r="C79" s="428">
        <v>44986</v>
      </c>
      <c r="D79" s="428">
        <v>45013</v>
      </c>
      <c r="E79" s="429">
        <f>E78-L79</f>
        <v>847000000</v>
      </c>
      <c r="F79" s="430">
        <v>0.02</v>
      </c>
      <c r="G79" s="431">
        <f>D79-C79+1</f>
        <v>28</v>
      </c>
      <c r="H79" s="432">
        <v>360</v>
      </c>
      <c r="I79" s="429">
        <v>0</v>
      </c>
      <c r="J79" s="429">
        <f t="shared" si="16"/>
        <v>1317555.5555555555</v>
      </c>
      <c r="K79" s="429">
        <f t="shared" si="17"/>
        <v>1317555.5555555555</v>
      </c>
      <c r="L79" s="429"/>
      <c r="M79" s="433">
        <v>0</v>
      </c>
      <c r="N79" s="429">
        <f>N78+K79</f>
        <v>4140888.888888889</v>
      </c>
      <c r="O79" s="429">
        <f t="shared" si="18"/>
        <v>1317555.5555555555</v>
      </c>
      <c r="P79" s="141"/>
    </row>
    <row r="80" spans="2:16" ht="21.75" hidden="1" customHeight="1" x14ac:dyDescent="0.25">
      <c r="B80" s="1102"/>
      <c r="C80" s="428">
        <v>45014</v>
      </c>
      <c r="D80" s="428">
        <v>45014</v>
      </c>
      <c r="E80" s="429">
        <f>E79-L80</f>
        <v>812000000</v>
      </c>
      <c r="F80" s="430">
        <v>0.02</v>
      </c>
      <c r="G80" s="429">
        <v>1</v>
      </c>
      <c r="H80" s="432">
        <v>360</v>
      </c>
      <c r="I80" s="429">
        <v>0</v>
      </c>
      <c r="J80" s="429">
        <f t="shared" si="16"/>
        <v>45111.111111111109</v>
      </c>
      <c r="K80" s="429">
        <f t="shared" si="17"/>
        <v>45111.111111111109</v>
      </c>
      <c r="L80" s="394">
        <v>35000000</v>
      </c>
      <c r="M80" s="433">
        <v>0</v>
      </c>
      <c r="N80" s="429">
        <f>N79+K80</f>
        <v>4186000</v>
      </c>
      <c r="O80" s="429">
        <f t="shared" si="18"/>
        <v>45111.111111111109</v>
      </c>
      <c r="P80" s="141"/>
    </row>
    <row r="81" spans="2:16" ht="22.5" hidden="1" customHeight="1" x14ac:dyDescent="0.25">
      <c r="B81" s="1102"/>
      <c r="C81" s="428">
        <v>45015</v>
      </c>
      <c r="D81" s="393">
        <v>45016</v>
      </c>
      <c r="E81" s="429">
        <f>E80</f>
        <v>812000000</v>
      </c>
      <c r="F81" s="430">
        <v>0.02</v>
      </c>
      <c r="G81" s="429">
        <v>1</v>
      </c>
      <c r="H81" s="432">
        <v>360</v>
      </c>
      <c r="I81" s="394">
        <v>35000000</v>
      </c>
      <c r="J81" s="429">
        <f t="shared" si="16"/>
        <v>45111.111111111109</v>
      </c>
      <c r="K81" s="429">
        <f t="shared" si="17"/>
        <v>35045111.111111112</v>
      </c>
      <c r="L81" s="429"/>
      <c r="M81" s="433">
        <v>0</v>
      </c>
      <c r="N81" s="429">
        <f>N80+K81-L80</f>
        <v>4231111.1111111119</v>
      </c>
      <c r="O81" s="429">
        <f t="shared" si="18"/>
        <v>45111.111111111109</v>
      </c>
      <c r="P81" s="141"/>
    </row>
    <row r="82" spans="2:16" ht="21.75" hidden="1" customHeight="1" x14ac:dyDescent="0.25">
      <c r="B82" s="427">
        <v>4</v>
      </c>
      <c r="C82" s="428">
        <v>45017</v>
      </c>
      <c r="D82" s="428">
        <v>45046</v>
      </c>
      <c r="E82" s="429">
        <f>E80-L82</f>
        <v>812000000</v>
      </c>
      <c r="F82" s="430">
        <v>0.02</v>
      </c>
      <c r="G82" s="431">
        <f>D82-C82+1</f>
        <v>30</v>
      </c>
      <c r="H82" s="432">
        <v>360</v>
      </c>
      <c r="I82" s="429">
        <v>0</v>
      </c>
      <c r="J82" s="429">
        <f t="shared" si="16"/>
        <v>1353333.3333333333</v>
      </c>
      <c r="K82" s="429">
        <f t="shared" si="17"/>
        <v>1353333.3333333333</v>
      </c>
      <c r="L82" s="429"/>
      <c r="M82" s="433">
        <v>0</v>
      </c>
      <c r="N82" s="429">
        <f>N81+K82</f>
        <v>5584444.444444445</v>
      </c>
      <c r="O82" s="429">
        <f t="shared" si="18"/>
        <v>1353333.3333333333</v>
      </c>
      <c r="P82" s="141"/>
    </row>
    <row r="83" spans="2:16" ht="21" hidden="1" customHeight="1" x14ac:dyDescent="0.25">
      <c r="B83" s="1102">
        <v>5</v>
      </c>
      <c r="C83" s="428">
        <v>45047</v>
      </c>
      <c r="D83" s="428">
        <v>45069</v>
      </c>
      <c r="E83" s="429">
        <f>E82-L83</f>
        <v>812000000</v>
      </c>
      <c r="F83" s="430">
        <v>0.02</v>
      </c>
      <c r="G83" s="431">
        <f>+D83-C83+1</f>
        <v>23</v>
      </c>
      <c r="H83" s="432">
        <v>360</v>
      </c>
      <c r="I83" s="429">
        <v>0</v>
      </c>
      <c r="J83" s="429">
        <f t="shared" si="16"/>
        <v>1037555.5555555555</v>
      </c>
      <c r="K83" s="429">
        <f t="shared" si="17"/>
        <v>1037555.5555555555</v>
      </c>
      <c r="L83" s="429"/>
      <c r="M83" s="433">
        <v>0</v>
      </c>
      <c r="N83" s="429">
        <f>N82+K83</f>
        <v>6622000</v>
      </c>
      <c r="O83" s="429">
        <f t="shared" si="18"/>
        <v>1037555.5555555555</v>
      </c>
      <c r="P83" s="141"/>
    </row>
    <row r="84" spans="2:16" ht="21.75" hidden="1" customHeight="1" x14ac:dyDescent="0.25">
      <c r="B84" s="1102"/>
      <c r="C84" s="428">
        <v>45070</v>
      </c>
      <c r="D84" s="428">
        <v>45077</v>
      </c>
      <c r="E84" s="429">
        <f>+E83-L84</f>
        <v>770858473</v>
      </c>
      <c r="F84" s="430">
        <v>0.02</v>
      </c>
      <c r="G84" s="429">
        <f>+D84-C84</f>
        <v>7</v>
      </c>
      <c r="H84" s="432">
        <v>360</v>
      </c>
      <c r="I84" s="429">
        <v>0</v>
      </c>
      <c r="J84" s="429">
        <f t="shared" si="16"/>
        <v>299778.29505555553</v>
      </c>
      <c r="K84" s="429">
        <f t="shared" si="17"/>
        <v>299778.29505555553</v>
      </c>
      <c r="L84" s="394">
        <v>41141527</v>
      </c>
      <c r="M84" s="433">
        <v>0</v>
      </c>
      <c r="N84" s="429">
        <f>N83+K84</f>
        <v>6921778.2950555552</v>
      </c>
      <c r="O84" s="429">
        <f t="shared" si="18"/>
        <v>299778.29505555553</v>
      </c>
      <c r="P84" s="141"/>
    </row>
    <row r="85" spans="2:16" ht="21.75" hidden="1" customHeight="1" x14ac:dyDescent="0.25">
      <c r="B85" s="427">
        <v>6</v>
      </c>
      <c r="C85" s="428">
        <v>45078</v>
      </c>
      <c r="D85" s="428">
        <v>45106</v>
      </c>
      <c r="E85" s="429">
        <f>+E84-L85</f>
        <v>770858473</v>
      </c>
      <c r="F85" s="430">
        <v>0.02</v>
      </c>
      <c r="G85" s="434">
        <f>+D85-C85+1</f>
        <v>29</v>
      </c>
      <c r="H85" s="432">
        <v>360</v>
      </c>
      <c r="I85" s="429">
        <v>0</v>
      </c>
      <c r="J85" s="429">
        <f t="shared" si="16"/>
        <v>1241938.6509444446</v>
      </c>
      <c r="K85" s="429">
        <f t="shared" si="17"/>
        <v>1241938.6509444446</v>
      </c>
      <c r="L85" s="429"/>
      <c r="M85" s="433">
        <v>0</v>
      </c>
      <c r="N85" s="429">
        <f>N84+K85</f>
        <v>8163716.9459999995</v>
      </c>
      <c r="O85" s="429">
        <f t="shared" si="18"/>
        <v>1241938.6509444446</v>
      </c>
      <c r="P85" s="141"/>
    </row>
    <row r="86" spans="2:16" ht="21.75" hidden="1" customHeight="1" x14ac:dyDescent="0.25">
      <c r="B86" s="1102">
        <v>7</v>
      </c>
      <c r="C86" s="428">
        <v>45107</v>
      </c>
      <c r="D86" s="393">
        <v>45107</v>
      </c>
      <c r="E86" s="429">
        <f>+E85-L86</f>
        <v>770858473</v>
      </c>
      <c r="F86" s="430">
        <v>0.02</v>
      </c>
      <c r="G86" s="429">
        <f>+D86-C86+1</f>
        <v>1</v>
      </c>
      <c r="H86" s="432">
        <v>360</v>
      </c>
      <c r="I86" s="394">
        <v>36000000</v>
      </c>
      <c r="J86" s="429">
        <f t="shared" si="16"/>
        <v>42825.470722222228</v>
      </c>
      <c r="K86" s="429">
        <f t="shared" si="17"/>
        <v>36042825.470722221</v>
      </c>
      <c r="L86" s="429"/>
      <c r="M86" s="433">
        <v>0</v>
      </c>
      <c r="N86" s="429">
        <f>N85+K86-L84</f>
        <v>3065015.4167222232</v>
      </c>
      <c r="O86" s="429">
        <f t="shared" si="18"/>
        <v>42825.470722222228</v>
      </c>
      <c r="P86" s="141"/>
    </row>
    <row r="87" spans="2:16" ht="23.25" hidden="1" customHeight="1" x14ac:dyDescent="0.25">
      <c r="B87" s="1102"/>
      <c r="C87" s="428">
        <v>45108</v>
      </c>
      <c r="D87" s="428">
        <v>45138</v>
      </c>
      <c r="E87" s="429">
        <f>+E85-L87</f>
        <v>770858473</v>
      </c>
      <c r="F87" s="430">
        <v>0.02</v>
      </c>
      <c r="G87" s="434">
        <f>+D87-C87</f>
        <v>30</v>
      </c>
      <c r="H87" s="432">
        <v>360</v>
      </c>
      <c r="I87" s="429">
        <v>0</v>
      </c>
      <c r="J87" s="429">
        <f t="shared" si="16"/>
        <v>1284764.1216666666</v>
      </c>
      <c r="K87" s="429">
        <f t="shared" si="17"/>
        <v>1284764.1216666666</v>
      </c>
      <c r="L87" s="429"/>
      <c r="M87" s="433">
        <v>0</v>
      </c>
      <c r="N87" s="429">
        <f>N86+K87</f>
        <v>4349779.5383888893</v>
      </c>
      <c r="O87" s="429">
        <f t="shared" si="18"/>
        <v>1284764.1216666666</v>
      </c>
      <c r="P87" s="141"/>
    </row>
    <row r="88" spans="2:16" ht="23.25" hidden="1" customHeight="1" x14ac:dyDescent="0.25">
      <c r="B88" s="1102">
        <v>8</v>
      </c>
      <c r="C88" s="428">
        <v>45139</v>
      </c>
      <c r="D88" s="428">
        <v>45167</v>
      </c>
      <c r="E88" s="429">
        <f t="shared" ref="E88:E93" si="19">+E87-L88</f>
        <v>770858473</v>
      </c>
      <c r="F88" s="430">
        <v>0.02</v>
      </c>
      <c r="G88" s="434">
        <v>29</v>
      </c>
      <c r="H88" s="432">
        <v>360</v>
      </c>
      <c r="I88" s="429">
        <v>0</v>
      </c>
      <c r="J88" s="429">
        <f t="shared" si="16"/>
        <v>1241938.6509444446</v>
      </c>
      <c r="K88" s="429">
        <f t="shared" si="17"/>
        <v>1241938.6509444446</v>
      </c>
      <c r="L88" s="429"/>
      <c r="M88" s="433">
        <v>0</v>
      </c>
      <c r="N88" s="429">
        <f>N87+K88</f>
        <v>5591718.1893333336</v>
      </c>
      <c r="O88" s="429">
        <f t="shared" si="18"/>
        <v>1241938.6509444446</v>
      </c>
      <c r="P88" s="141"/>
    </row>
    <row r="89" spans="2:16" ht="22.5" hidden="1" customHeight="1" x14ac:dyDescent="0.25">
      <c r="B89" s="1102"/>
      <c r="C89" s="428">
        <v>45168</v>
      </c>
      <c r="D89" s="428">
        <v>45169</v>
      </c>
      <c r="E89" s="429">
        <f t="shared" si="19"/>
        <v>758858473</v>
      </c>
      <c r="F89" s="430">
        <v>0.02</v>
      </c>
      <c r="G89" s="434">
        <v>1</v>
      </c>
      <c r="H89" s="432">
        <v>360</v>
      </c>
      <c r="I89" s="429">
        <v>0</v>
      </c>
      <c r="J89" s="429">
        <f t="shared" si="16"/>
        <v>42158.804055555556</v>
      </c>
      <c r="K89" s="429">
        <f>+I89+J89</f>
        <v>42158.804055555556</v>
      </c>
      <c r="L89" s="394">
        <v>12000000</v>
      </c>
      <c r="M89" s="433">
        <v>0</v>
      </c>
      <c r="N89" s="429">
        <f>N88+K89</f>
        <v>5633876.9933888894</v>
      </c>
      <c r="O89" s="429">
        <f t="shared" si="18"/>
        <v>42158.804055555556</v>
      </c>
      <c r="P89" s="141"/>
    </row>
    <row r="90" spans="2:16" ht="22.5" hidden="1" customHeight="1" x14ac:dyDescent="0.25">
      <c r="B90" s="1102">
        <v>9</v>
      </c>
      <c r="C90" s="428">
        <v>45170</v>
      </c>
      <c r="D90" s="428">
        <v>45174</v>
      </c>
      <c r="E90" s="429">
        <f t="shared" si="19"/>
        <v>758858473</v>
      </c>
      <c r="F90" s="430">
        <v>0.02</v>
      </c>
      <c r="G90" s="434">
        <f t="shared" ref="G90:G101" si="20">+D90-C90+1</f>
        <v>5</v>
      </c>
      <c r="H90" s="432">
        <v>360</v>
      </c>
      <c r="I90" s="429">
        <v>0</v>
      </c>
      <c r="J90" s="429">
        <f t="shared" si="16"/>
        <v>210794.0202777778</v>
      </c>
      <c r="K90" s="429">
        <f>I90+J90</f>
        <v>210794.0202777778</v>
      </c>
      <c r="L90" s="435"/>
      <c r="M90" s="433">
        <v>0</v>
      </c>
      <c r="N90" s="429">
        <f>N89+K90</f>
        <v>5844671.013666667</v>
      </c>
      <c r="O90" s="429">
        <f t="shared" si="18"/>
        <v>210794.0202777778</v>
      </c>
      <c r="P90" s="141"/>
    </row>
    <row r="91" spans="2:16" ht="21.75" hidden="1" customHeight="1" x14ac:dyDescent="0.25">
      <c r="B91" s="1102"/>
      <c r="C91" s="428">
        <v>45175</v>
      </c>
      <c r="D91" s="428">
        <v>45175</v>
      </c>
      <c r="E91" s="429">
        <f t="shared" si="19"/>
        <v>751000000</v>
      </c>
      <c r="F91" s="430">
        <v>0.02</v>
      </c>
      <c r="G91" s="434">
        <f t="shared" si="20"/>
        <v>1</v>
      </c>
      <c r="H91" s="432">
        <v>360</v>
      </c>
      <c r="I91" s="429">
        <v>0</v>
      </c>
      <c r="J91" s="429">
        <f t="shared" si="16"/>
        <v>41722.222222222219</v>
      </c>
      <c r="K91" s="429">
        <f>+J91+I91</f>
        <v>41722.222222222219</v>
      </c>
      <c r="L91" s="394">
        <v>7858473</v>
      </c>
      <c r="M91" s="433">
        <v>0</v>
      </c>
      <c r="N91" s="429">
        <f>N90+K91</f>
        <v>5886393.2358888891</v>
      </c>
      <c r="O91" s="429">
        <f t="shared" si="18"/>
        <v>41722.222222222219</v>
      </c>
      <c r="P91" s="141"/>
    </row>
    <row r="92" spans="2:16" ht="20.25" hidden="1" customHeight="1" x14ac:dyDescent="0.25">
      <c r="B92" s="1102"/>
      <c r="C92" s="428">
        <v>45176</v>
      </c>
      <c r="D92" s="428">
        <v>45198</v>
      </c>
      <c r="E92" s="429">
        <f t="shared" si="19"/>
        <v>751000000</v>
      </c>
      <c r="F92" s="430">
        <v>0.02</v>
      </c>
      <c r="G92" s="434">
        <f t="shared" si="20"/>
        <v>23</v>
      </c>
      <c r="H92" s="432">
        <v>360</v>
      </c>
      <c r="I92" s="429">
        <v>0</v>
      </c>
      <c r="J92" s="429">
        <f t="shared" si="16"/>
        <v>959611.11111111112</v>
      </c>
      <c r="K92" s="429">
        <f>+J92+I92</f>
        <v>959611.11111111112</v>
      </c>
      <c r="L92" s="433"/>
      <c r="M92" s="436">
        <v>11293332</v>
      </c>
      <c r="N92" s="429">
        <f>N91+K92-M92</f>
        <v>-4447327.6529999999</v>
      </c>
      <c r="O92" s="429">
        <f t="shared" si="18"/>
        <v>959611.11111111112</v>
      </c>
      <c r="P92" s="141"/>
    </row>
    <row r="93" spans="2:16" ht="22.5" hidden="1" customHeight="1" x14ac:dyDescent="0.25">
      <c r="B93" s="1102"/>
      <c r="C93" s="428">
        <v>45199</v>
      </c>
      <c r="D93" s="393">
        <v>45199</v>
      </c>
      <c r="E93" s="429">
        <f t="shared" si="19"/>
        <v>751000000</v>
      </c>
      <c r="F93" s="430">
        <v>0.02</v>
      </c>
      <c r="G93" s="434">
        <f t="shared" si="20"/>
        <v>1</v>
      </c>
      <c r="H93" s="432">
        <v>360</v>
      </c>
      <c r="I93" s="394">
        <v>25000000</v>
      </c>
      <c r="J93" s="429">
        <f t="shared" si="16"/>
        <v>41722.222222222219</v>
      </c>
      <c r="K93" s="429">
        <f>+J93+I93</f>
        <v>25041722.222222224</v>
      </c>
      <c r="L93" s="433"/>
      <c r="M93" s="435">
        <v>0</v>
      </c>
      <c r="N93" s="429">
        <f>N92+K93-L89-L91</f>
        <v>735921.56922222301</v>
      </c>
      <c r="O93" s="429">
        <f t="shared" si="18"/>
        <v>41722.222222222219</v>
      </c>
      <c r="P93" s="141"/>
    </row>
    <row r="94" spans="2:16" ht="22.5" hidden="1" customHeight="1" x14ac:dyDescent="0.25">
      <c r="B94" s="1102">
        <v>10</v>
      </c>
      <c r="C94" s="428">
        <v>45200</v>
      </c>
      <c r="D94" s="428">
        <v>45218</v>
      </c>
      <c r="E94" s="429">
        <f>+E92-L94</f>
        <v>751000000</v>
      </c>
      <c r="F94" s="430">
        <v>0.02</v>
      </c>
      <c r="G94" s="434">
        <f>+D94-C94+1</f>
        <v>19</v>
      </c>
      <c r="H94" s="432">
        <v>360</v>
      </c>
      <c r="I94" s="429">
        <v>0</v>
      </c>
      <c r="J94" s="429">
        <f t="shared" si="16"/>
        <v>792722.22222222225</v>
      </c>
      <c r="K94" s="429">
        <f>I94+J94</f>
        <v>792722.22222222225</v>
      </c>
      <c r="L94" s="433"/>
      <c r="M94" s="435">
        <v>0</v>
      </c>
      <c r="N94" s="429">
        <f t="shared" ref="N94:N100" si="21">N93+K94</f>
        <v>1528643.7914444453</v>
      </c>
      <c r="O94" s="429">
        <f t="shared" si="18"/>
        <v>792722.22222222225</v>
      </c>
      <c r="P94" s="141"/>
    </row>
    <row r="95" spans="2:16" ht="23.25" hidden="1" customHeight="1" x14ac:dyDescent="0.25">
      <c r="B95" s="1102"/>
      <c r="C95" s="428">
        <v>45219</v>
      </c>
      <c r="D95" s="428">
        <v>45223</v>
      </c>
      <c r="E95" s="429">
        <f t="shared" ref="E95:E100" si="22">+E94-L95</f>
        <v>749000000</v>
      </c>
      <c r="F95" s="430">
        <v>0.02</v>
      </c>
      <c r="G95" s="434">
        <v>5</v>
      </c>
      <c r="H95" s="432">
        <v>360</v>
      </c>
      <c r="I95" s="429">
        <v>0</v>
      </c>
      <c r="J95" s="429">
        <f t="shared" si="16"/>
        <v>208055.55555555556</v>
      </c>
      <c r="K95" s="429">
        <f>+I95+J95</f>
        <v>208055.55555555556</v>
      </c>
      <c r="L95" s="394">
        <v>2000000</v>
      </c>
      <c r="M95" s="435">
        <v>0</v>
      </c>
      <c r="N95" s="429">
        <f t="shared" si="21"/>
        <v>1736699.3470000008</v>
      </c>
      <c r="O95" s="429">
        <f t="shared" si="18"/>
        <v>208055.55555555556</v>
      </c>
      <c r="P95" s="141"/>
    </row>
    <row r="96" spans="2:16" ht="22.5" hidden="1" customHeight="1" x14ac:dyDescent="0.25">
      <c r="B96" s="1102"/>
      <c r="C96" s="428">
        <v>45224</v>
      </c>
      <c r="D96" s="428">
        <v>45230</v>
      </c>
      <c r="E96" s="429">
        <f t="shared" si="22"/>
        <v>747000000</v>
      </c>
      <c r="F96" s="430">
        <v>0.02</v>
      </c>
      <c r="G96" s="434">
        <v>6</v>
      </c>
      <c r="H96" s="432">
        <v>360</v>
      </c>
      <c r="I96" s="429">
        <v>0</v>
      </c>
      <c r="J96" s="429">
        <f t="shared" si="16"/>
        <v>249000</v>
      </c>
      <c r="K96" s="429">
        <f>+I96+J96</f>
        <v>249000</v>
      </c>
      <c r="L96" s="394">
        <v>2000000</v>
      </c>
      <c r="M96" s="435">
        <v>0</v>
      </c>
      <c r="N96" s="429">
        <f t="shared" si="21"/>
        <v>1985699.3470000008</v>
      </c>
      <c r="O96" s="429">
        <f t="shared" si="18"/>
        <v>249000</v>
      </c>
      <c r="P96" s="141"/>
    </row>
    <row r="97" spans="2:23" ht="22.5" hidden="1" customHeight="1" x14ac:dyDescent="0.25">
      <c r="B97" s="1102">
        <v>11</v>
      </c>
      <c r="C97" s="428">
        <v>45231</v>
      </c>
      <c r="D97" s="428">
        <v>45231</v>
      </c>
      <c r="E97" s="429">
        <f t="shared" si="22"/>
        <v>747000000</v>
      </c>
      <c r="F97" s="430">
        <v>0.02</v>
      </c>
      <c r="G97" s="434">
        <f>+D97-C97+1</f>
        <v>1</v>
      </c>
      <c r="H97" s="432">
        <v>360</v>
      </c>
      <c r="I97" s="429">
        <v>0</v>
      </c>
      <c r="J97" s="429">
        <f t="shared" si="16"/>
        <v>41500</v>
      </c>
      <c r="K97" s="429">
        <f>+I97+J97</f>
        <v>41500</v>
      </c>
      <c r="L97" s="429"/>
      <c r="M97" s="435">
        <v>0</v>
      </c>
      <c r="N97" s="429">
        <f t="shared" si="21"/>
        <v>2027199.3470000008</v>
      </c>
      <c r="O97" s="429">
        <f t="shared" si="18"/>
        <v>41500</v>
      </c>
      <c r="P97" s="141"/>
    </row>
    <row r="98" spans="2:23" ht="24.75" hidden="1" customHeight="1" x14ac:dyDescent="0.25">
      <c r="B98" s="1102"/>
      <c r="C98" s="428">
        <v>45232</v>
      </c>
      <c r="D98" s="428">
        <v>45239</v>
      </c>
      <c r="E98" s="429">
        <f t="shared" si="22"/>
        <v>745000000</v>
      </c>
      <c r="F98" s="430">
        <v>0.02</v>
      </c>
      <c r="G98" s="434">
        <f>+D98-C98+1</f>
        <v>8</v>
      </c>
      <c r="H98" s="432">
        <v>360</v>
      </c>
      <c r="I98" s="429">
        <v>0</v>
      </c>
      <c r="J98" s="429">
        <f t="shared" si="16"/>
        <v>331111.11111111112</v>
      </c>
      <c r="K98" s="429">
        <f>+I98+J98</f>
        <v>331111.11111111112</v>
      </c>
      <c r="L98" s="394">
        <v>2000000</v>
      </c>
      <c r="M98" s="435">
        <v>0</v>
      </c>
      <c r="N98" s="429">
        <f t="shared" si="21"/>
        <v>2358310.458111112</v>
      </c>
      <c r="O98" s="429">
        <f t="shared" si="18"/>
        <v>331111.11111111112</v>
      </c>
      <c r="P98" s="141"/>
    </row>
    <row r="99" spans="2:23" ht="21" hidden="1" customHeight="1" x14ac:dyDescent="0.25">
      <c r="B99" s="1102"/>
      <c r="C99" s="428">
        <v>45240</v>
      </c>
      <c r="D99" s="428">
        <v>45249</v>
      </c>
      <c r="E99" s="429">
        <f t="shared" si="22"/>
        <v>743000000</v>
      </c>
      <c r="F99" s="430">
        <v>0.02</v>
      </c>
      <c r="G99" s="434">
        <f>+D99-C99+1</f>
        <v>10</v>
      </c>
      <c r="H99" s="432">
        <v>360</v>
      </c>
      <c r="I99" s="429">
        <v>0</v>
      </c>
      <c r="J99" s="429">
        <f t="shared" si="16"/>
        <v>412777.77777777775</v>
      </c>
      <c r="K99" s="429">
        <f>+I99+J99</f>
        <v>412777.77777777775</v>
      </c>
      <c r="L99" s="437">
        <v>2000000</v>
      </c>
      <c r="M99" s="435">
        <v>0</v>
      </c>
      <c r="N99" s="429">
        <f t="shared" si="21"/>
        <v>2771088.23588889</v>
      </c>
      <c r="O99" s="429">
        <f t="shared" si="18"/>
        <v>412777.77777777775</v>
      </c>
      <c r="P99" s="141"/>
    </row>
    <row r="100" spans="2:23" ht="21" hidden="1" customHeight="1" x14ac:dyDescent="0.25">
      <c r="B100" s="1102"/>
      <c r="C100" s="428">
        <v>45250</v>
      </c>
      <c r="D100" s="428">
        <v>45259</v>
      </c>
      <c r="E100" s="429">
        <f t="shared" si="22"/>
        <v>741000000</v>
      </c>
      <c r="F100" s="430">
        <v>0.02</v>
      </c>
      <c r="G100" s="434">
        <f t="shared" si="20"/>
        <v>10</v>
      </c>
      <c r="H100" s="432">
        <v>360</v>
      </c>
      <c r="I100" s="429">
        <v>0</v>
      </c>
      <c r="J100" s="429">
        <f t="shared" si="16"/>
        <v>411666.66666666669</v>
      </c>
      <c r="K100" s="429">
        <f>I100+J100</f>
        <v>411666.66666666669</v>
      </c>
      <c r="L100" s="437">
        <v>2000000</v>
      </c>
      <c r="M100" s="435">
        <v>0</v>
      </c>
      <c r="N100" s="429">
        <f t="shared" si="21"/>
        <v>3182754.9025555565</v>
      </c>
      <c r="O100" s="429">
        <f t="shared" si="18"/>
        <v>411666.66666666669</v>
      </c>
      <c r="P100" s="141"/>
    </row>
    <row r="101" spans="2:23" ht="22.5" hidden="1" customHeight="1" x14ac:dyDescent="0.25">
      <c r="B101" s="1102"/>
      <c r="C101" s="428">
        <v>45260</v>
      </c>
      <c r="D101" s="393">
        <v>45260</v>
      </c>
      <c r="E101" s="429">
        <f>+E100</f>
        <v>741000000</v>
      </c>
      <c r="F101" s="430">
        <v>0.02</v>
      </c>
      <c r="G101" s="434">
        <f t="shared" si="20"/>
        <v>1</v>
      </c>
      <c r="H101" s="432">
        <v>360</v>
      </c>
      <c r="I101" s="394">
        <v>10000000</v>
      </c>
      <c r="J101" s="429">
        <f t="shared" si="16"/>
        <v>41166.666666666664</v>
      </c>
      <c r="K101" s="429">
        <f>I101+J101</f>
        <v>10041166.666666666</v>
      </c>
      <c r="L101" s="429"/>
      <c r="M101" s="435">
        <v>0</v>
      </c>
      <c r="N101" s="429">
        <f>N100+K101-L95-L96-L98-L99-L100</f>
        <v>3223921.569222223</v>
      </c>
      <c r="O101" s="429">
        <f t="shared" si="18"/>
        <v>41166.666666666664</v>
      </c>
      <c r="P101" s="141"/>
    </row>
    <row r="102" spans="2:23" ht="21.75" hidden="1" customHeight="1" x14ac:dyDescent="0.25">
      <c r="B102" s="1102">
        <v>12</v>
      </c>
      <c r="C102" s="428">
        <v>45261</v>
      </c>
      <c r="D102" s="428">
        <v>45285</v>
      </c>
      <c r="E102" s="429">
        <f>+E101-L102</f>
        <v>741000000</v>
      </c>
      <c r="F102" s="430">
        <v>0.02</v>
      </c>
      <c r="G102" s="434">
        <v>25</v>
      </c>
      <c r="H102" s="432">
        <v>360</v>
      </c>
      <c r="I102" s="429"/>
      <c r="J102" s="429">
        <f t="shared" si="16"/>
        <v>1029166.6666666666</v>
      </c>
      <c r="K102" s="429">
        <f>I102+J102</f>
        <v>1029166.6666666666</v>
      </c>
      <c r="L102" s="429"/>
      <c r="M102" s="435">
        <v>0</v>
      </c>
      <c r="N102" s="429">
        <f>N101+K102</f>
        <v>4253088.23588889</v>
      </c>
      <c r="O102" s="429">
        <f t="shared" si="18"/>
        <v>1029166.6666666666</v>
      </c>
      <c r="P102" s="141"/>
    </row>
    <row r="103" spans="2:23" ht="23.25" hidden="1" customHeight="1" x14ac:dyDescent="0.25">
      <c r="B103" s="1102"/>
      <c r="C103" s="428">
        <v>45286</v>
      </c>
      <c r="D103" s="428">
        <v>45291</v>
      </c>
      <c r="E103" s="429">
        <f>+E102-L103</f>
        <v>741000000</v>
      </c>
      <c r="F103" s="430">
        <v>0.02</v>
      </c>
      <c r="G103" s="434">
        <v>5</v>
      </c>
      <c r="H103" s="432">
        <v>360</v>
      </c>
      <c r="I103" s="429"/>
      <c r="J103" s="429">
        <f t="shared" si="16"/>
        <v>205833.33333333334</v>
      </c>
      <c r="K103" s="429">
        <f>I103+J103</f>
        <v>205833.33333333334</v>
      </c>
      <c r="L103" s="429"/>
      <c r="M103" s="438">
        <v>4458142.79</v>
      </c>
      <c r="N103" s="439">
        <f>N102+K103-M103</f>
        <v>778.77922222297639</v>
      </c>
      <c r="O103" s="429">
        <f t="shared" si="18"/>
        <v>205833.33333333334</v>
      </c>
      <c r="P103" s="141"/>
    </row>
    <row r="104" spans="2:23" ht="31.5" hidden="1" customHeight="1" x14ac:dyDescent="0.25">
      <c r="B104" s="1114" t="s">
        <v>83</v>
      </c>
      <c r="C104" s="1114"/>
      <c r="D104" s="1114"/>
      <c r="E104" s="440" t="s">
        <v>30</v>
      </c>
      <c r="F104" s="441" t="s">
        <v>30</v>
      </c>
      <c r="G104" s="442">
        <f>SUM(G77:G103)</f>
        <v>360</v>
      </c>
      <c r="H104" s="443"/>
      <c r="I104" s="444">
        <f>SUM(I77:I102)</f>
        <v>106000000</v>
      </c>
      <c r="J104" s="445">
        <f>SUM(J77:J103)</f>
        <v>15752253.569222221</v>
      </c>
      <c r="K104" s="446">
        <f>SUM(K77:K102)</f>
        <v>121546420.23588888</v>
      </c>
      <c r="L104" s="444">
        <f>SUM(L77:L102)</f>
        <v>106000000</v>
      </c>
      <c r="M104" s="558">
        <f>SUM(M77:M103)</f>
        <v>15751474.789999999</v>
      </c>
      <c r="N104" s="447">
        <f>+N103</f>
        <v>778.77922222297639</v>
      </c>
      <c r="O104" s="446">
        <f>+SUM(O77:O103)</f>
        <v>15752253.569222221</v>
      </c>
      <c r="P104" s="141"/>
    </row>
    <row r="105" spans="2:23" ht="31.5" hidden="1" customHeight="1" x14ac:dyDescent="0.25">
      <c r="L105" s="256"/>
      <c r="M105" s="425">
        <f>+M104-O104</f>
        <v>-778.77922222204506</v>
      </c>
      <c r="P105" s="141"/>
    </row>
    <row r="106" spans="2:23" ht="31.5" hidden="1" customHeight="1" x14ac:dyDescent="0.25">
      <c r="L106" s="256"/>
      <c r="M106" s="425"/>
      <c r="P106" s="141"/>
    </row>
    <row r="107" spans="2:23" ht="30" customHeight="1" x14ac:dyDescent="0.25">
      <c r="B107" s="1094" t="s">
        <v>47</v>
      </c>
      <c r="C107" s="1094"/>
      <c r="D107" s="1094"/>
      <c r="E107" s="1094"/>
      <c r="F107" s="1094"/>
      <c r="G107" s="1094"/>
      <c r="H107" s="1094"/>
      <c r="I107" s="1094"/>
      <c r="J107" s="1094"/>
      <c r="K107" s="1094"/>
      <c r="L107" s="1094"/>
      <c r="N107" s="255"/>
      <c r="O107" s="254"/>
    </row>
    <row r="108" spans="2:23" ht="27" customHeight="1" thickBot="1" x14ac:dyDescent="0.3">
      <c r="B108" s="1095" t="s">
        <v>215</v>
      </c>
      <c r="C108" s="1095"/>
      <c r="D108" s="1095"/>
      <c r="E108" s="1095"/>
      <c r="F108" s="1095"/>
      <c r="G108" s="1095"/>
      <c r="H108" s="1095"/>
      <c r="I108" s="1095"/>
      <c r="J108" s="1095"/>
      <c r="K108" s="1095"/>
      <c r="L108" s="1095"/>
      <c r="M108" s="248" t="s">
        <v>20</v>
      </c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</row>
    <row r="109" spans="2:23" ht="15.75" customHeight="1" thickBot="1" x14ac:dyDescent="0.3"/>
    <row r="110" spans="2:23" ht="54" customHeight="1" thickBot="1" x14ac:dyDescent="0.3">
      <c r="B110" s="94" t="s">
        <v>15</v>
      </c>
      <c r="C110" s="1056" t="s">
        <v>24</v>
      </c>
      <c r="D110" s="1058"/>
      <c r="E110" s="94" t="s">
        <v>25</v>
      </c>
      <c r="F110" s="11" t="s">
        <v>18</v>
      </c>
      <c r="G110" s="1065" t="s">
        <v>74</v>
      </c>
      <c r="H110" s="1066"/>
      <c r="I110" s="231" t="s">
        <v>113</v>
      </c>
      <c r="J110" s="231" t="s">
        <v>103</v>
      </c>
      <c r="K110" s="11" t="s">
        <v>17</v>
      </c>
      <c r="L110" s="10" t="s">
        <v>71</v>
      </c>
      <c r="M110" s="71" t="s">
        <v>65</v>
      </c>
      <c r="N110" s="71" t="s">
        <v>245</v>
      </c>
    </row>
    <row r="111" spans="2:23" ht="31.5" customHeight="1" thickBot="1" x14ac:dyDescent="0.3">
      <c r="B111" s="662">
        <v>1</v>
      </c>
      <c r="C111" s="1059" t="s">
        <v>72</v>
      </c>
      <c r="D111" s="1060"/>
      <c r="E111" s="663">
        <f>1165000000</f>
        <v>1165000000</v>
      </c>
      <c r="F111" s="664">
        <v>0.02</v>
      </c>
      <c r="G111" s="1067">
        <v>360</v>
      </c>
      <c r="H111" s="1068"/>
      <c r="I111" s="665">
        <v>0</v>
      </c>
      <c r="J111" s="665"/>
      <c r="K111" s="665">
        <v>0</v>
      </c>
      <c r="L111" s="820">
        <v>23300000</v>
      </c>
      <c r="M111" s="666">
        <f>K111+L111</f>
        <v>23300000</v>
      </c>
      <c r="N111" s="666">
        <v>0</v>
      </c>
    </row>
    <row r="112" spans="2:23" ht="31.5" customHeight="1" thickBot="1" x14ac:dyDescent="0.3">
      <c r="B112" s="667">
        <v>2</v>
      </c>
      <c r="C112" s="1061" t="s">
        <v>73</v>
      </c>
      <c r="D112" s="1062"/>
      <c r="E112" s="668">
        <f>1165000000</f>
        <v>1165000000</v>
      </c>
      <c r="F112" s="669">
        <v>0.02</v>
      </c>
      <c r="G112" s="1096">
        <v>360</v>
      </c>
      <c r="H112" s="1097"/>
      <c r="I112" s="670">
        <v>0</v>
      </c>
      <c r="J112" s="670"/>
      <c r="K112" s="670">
        <v>106000000</v>
      </c>
      <c r="L112" s="821">
        <v>21468983.329999998</v>
      </c>
      <c r="M112" s="668">
        <f>K112+L112</f>
        <v>127468983.33</v>
      </c>
      <c r="N112" s="668">
        <v>0</v>
      </c>
    </row>
    <row r="113" spans="2:18" ht="36.75" customHeight="1" thickBot="1" x14ac:dyDescent="0.3">
      <c r="B113" s="667">
        <v>3</v>
      </c>
      <c r="C113" s="1063" t="s">
        <v>82</v>
      </c>
      <c r="D113" s="1064"/>
      <c r="E113" s="663">
        <f t="shared" ref="E113:E122" si="23">+E112-I113</f>
        <v>1059000000</v>
      </c>
      <c r="F113" s="664">
        <v>0.02</v>
      </c>
      <c r="G113" s="1098">
        <v>360</v>
      </c>
      <c r="H113" s="1099"/>
      <c r="I113" s="665">
        <v>106000000</v>
      </c>
      <c r="J113" s="665">
        <v>21180000</v>
      </c>
      <c r="K113" s="665">
        <v>106000000</v>
      </c>
      <c r="L113" s="820">
        <f>8659350.61+5294999.66+3000000+4084316.4</f>
        <v>21038666.669999998</v>
      </c>
      <c r="M113" s="663">
        <f>L113+K113</f>
        <v>127038666.67</v>
      </c>
      <c r="N113" s="668">
        <v>0</v>
      </c>
    </row>
    <row r="114" spans="2:18" ht="36.75" customHeight="1" thickBot="1" x14ac:dyDescent="0.3">
      <c r="B114" s="667">
        <v>4</v>
      </c>
      <c r="C114" s="1071" t="s">
        <v>93</v>
      </c>
      <c r="D114" s="1072"/>
      <c r="E114" s="668">
        <f t="shared" si="23"/>
        <v>953000000</v>
      </c>
      <c r="F114" s="669">
        <v>0.02</v>
      </c>
      <c r="G114" s="1069">
        <v>360</v>
      </c>
      <c r="H114" s="1070"/>
      <c r="I114" s="668">
        <f>106000000</f>
        <v>106000000</v>
      </c>
      <c r="J114" s="668">
        <v>19060000</v>
      </c>
      <c r="K114" s="668">
        <f>106000000</f>
        <v>106000000</v>
      </c>
      <c r="L114" s="819">
        <v>17995888.888900001</v>
      </c>
      <c r="M114" s="668">
        <f>+K114+L114</f>
        <v>123995888.8889</v>
      </c>
      <c r="N114" s="668">
        <v>0</v>
      </c>
    </row>
    <row r="115" spans="2:18" ht="36.75" customHeight="1" thickBot="1" x14ac:dyDescent="0.3">
      <c r="B115" s="667">
        <v>5</v>
      </c>
      <c r="C115" s="1061" t="s">
        <v>102</v>
      </c>
      <c r="D115" s="1062"/>
      <c r="E115" s="668">
        <f t="shared" si="23"/>
        <v>847000000</v>
      </c>
      <c r="F115" s="669">
        <v>0.02</v>
      </c>
      <c r="G115" s="1069">
        <v>360</v>
      </c>
      <c r="H115" s="1070"/>
      <c r="I115" s="671">
        <v>106000000</v>
      </c>
      <c r="J115" s="671">
        <v>16940000</v>
      </c>
      <c r="K115" s="671">
        <f>35000000+41141527+12000000+7858473+10000000</f>
        <v>106000000</v>
      </c>
      <c r="L115" s="819">
        <f>11293332+4458142.79</f>
        <v>15751474.789999999</v>
      </c>
      <c r="M115" s="668">
        <f>+K115+L115</f>
        <v>121751474.78999999</v>
      </c>
      <c r="N115" s="668">
        <f>106000000-K115</f>
        <v>0</v>
      </c>
      <c r="R115" s="20"/>
    </row>
    <row r="116" spans="2:18" ht="36.75" customHeight="1" thickBot="1" x14ac:dyDescent="0.45">
      <c r="B116" s="667">
        <v>6</v>
      </c>
      <c r="C116" s="1061" t="s">
        <v>277</v>
      </c>
      <c r="D116" s="1062"/>
      <c r="E116" s="668">
        <f>+E115-K116</f>
        <v>736900000</v>
      </c>
      <c r="F116" s="669">
        <v>0.02</v>
      </c>
      <c r="G116" s="1069">
        <v>360</v>
      </c>
      <c r="H116" s="1070"/>
      <c r="I116" s="671">
        <v>106000000</v>
      </c>
      <c r="J116" s="671">
        <v>14820000</v>
      </c>
      <c r="K116" s="671">
        <f>35000000+36000000+25000000+10000000+4100000</f>
        <v>110100000</v>
      </c>
      <c r="L116" s="556">
        <f>168429.73+14005.16667</f>
        <v>182434.89667000002</v>
      </c>
      <c r="M116" s="668">
        <f>+K116+L116</f>
        <v>110282434.89667</v>
      </c>
      <c r="N116" s="251">
        <v>14005166.67</v>
      </c>
      <c r="O116" s="555"/>
      <c r="R116" s="20"/>
    </row>
    <row r="117" spans="2:18" ht="36.75" customHeight="1" thickBot="1" x14ac:dyDescent="0.3">
      <c r="B117" s="250">
        <v>7</v>
      </c>
      <c r="C117" s="1075" t="s">
        <v>105</v>
      </c>
      <c r="D117" s="1076"/>
      <c r="E117" s="251">
        <f t="shared" si="23"/>
        <v>630900000</v>
      </c>
      <c r="F117" s="252">
        <v>0.02</v>
      </c>
      <c r="G117" s="1077">
        <v>360</v>
      </c>
      <c r="H117" s="1078"/>
      <c r="I117" s="249">
        <v>106000000</v>
      </c>
      <c r="J117" s="249">
        <v>12700000</v>
      </c>
      <c r="K117" s="249"/>
      <c r="L117" s="249"/>
      <c r="M117" s="251">
        <f>+K117+L117</f>
        <v>0</v>
      </c>
      <c r="N117" s="251">
        <f t="shared" ref="N117:N122" si="24">+(I117+J117)-(K117+L117)</f>
        <v>118700000</v>
      </c>
      <c r="R117" s="20"/>
    </row>
    <row r="118" spans="2:18" ht="36.75" customHeight="1" thickBot="1" x14ac:dyDescent="0.3">
      <c r="B118" s="253">
        <v>8</v>
      </c>
      <c r="C118" s="1075" t="s">
        <v>106</v>
      </c>
      <c r="D118" s="1076"/>
      <c r="E118" s="251">
        <f t="shared" si="23"/>
        <v>524900000</v>
      </c>
      <c r="F118" s="252">
        <v>0.02</v>
      </c>
      <c r="G118" s="1073">
        <v>360</v>
      </c>
      <c r="H118" s="1074"/>
      <c r="I118" s="249">
        <v>106000000</v>
      </c>
      <c r="J118" s="249">
        <v>10580000</v>
      </c>
      <c r="K118" s="249"/>
      <c r="L118" s="822"/>
      <c r="M118" s="251">
        <f t="shared" ref="M118:M122" si="25">+K118+L118</f>
        <v>0</v>
      </c>
      <c r="N118" s="251">
        <f t="shared" si="24"/>
        <v>116580000</v>
      </c>
      <c r="R118" s="20"/>
    </row>
    <row r="119" spans="2:18" ht="36.75" customHeight="1" thickBot="1" x14ac:dyDescent="0.3">
      <c r="B119" s="250">
        <v>9</v>
      </c>
      <c r="C119" s="1075" t="s">
        <v>107</v>
      </c>
      <c r="D119" s="1076"/>
      <c r="E119" s="251">
        <f t="shared" si="23"/>
        <v>418900000</v>
      </c>
      <c r="F119" s="252">
        <v>0.02</v>
      </c>
      <c r="G119" s="1077">
        <v>360</v>
      </c>
      <c r="H119" s="1078"/>
      <c r="I119" s="249">
        <v>106000000</v>
      </c>
      <c r="J119" s="249">
        <v>8460000</v>
      </c>
      <c r="K119" s="249"/>
      <c r="L119" s="249"/>
      <c r="M119" s="251">
        <f t="shared" si="25"/>
        <v>0</v>
      </c>
      <c r="N119" s="251">
        <f t="shared" si="24"/>
        <v>114460000</v>
      </c>
      <c r="R119" s="20"/>
    </row>
    <row r="120" spans="2:18" ht="36.75" customHeight="1" thickBot="1" x14ac:dyDescent="0.3">
      <c r="B120" s="250">
        <v>10</v>
      </c>
      <c r="C120" s="1075" t="s">
        <v>108</v>
      </c>
      <c r="D120" s="1076"/>
      <c r="E120" s="251">
        <f t="shared" si="23"/>
        <v>312900000</v>
      </c>
      <c r="F120" s="252">
        <v>0.02</v>
      </c>
      <c r="G120" s="1073">
        <v>360</v>
      </c>
      <c r="H120" s="1074"/>
      <c r="I120" s="249">
        <v>106000000</v>
      </c>
      <c r="J120" s="249">
        <v>6340000</v>
      </c>
      <c r="K120" s="249"/>
      <c r="L120" s="249"/>
      <c r="M120" s="251">
        <f t="shared" si="25"/>
        <v>0</v>
      </c>
      <c r="N120" s="251">
        <f t="shared" si="24"/>
        <v>112340000</v>
      </c>
      <c r="R120" s="20"/>
    </row>
    <row r="121" spans="2:18" ht="36.75" customHeight="1" thickBot="1" x14ac:dyDescent="0.3">
      <c r="B121" s="250">
        <v>11</v>
      </c>
      <c r="C121" s="1075" t="s">
        <v>109</v>
      </c>
      <c r="D121" s="1076"/>
      <c r="E121" s="251">
        <f t="shared" si="23"/>
        <v>206900000</v>
      </c>
      <c r="F121" s="252">
        <v>0.02</v>
      </c>
      <c r="G121" s="1077">
        <v>360</v>
      </c>
      <c r="H121" s="1078"/>
      <c r="I121" s="249">
        <v>106000000</v>
      </c>
      <c r="J121" s="249">
        <v>4220000</v>
      </c>
      <c r="K121" s="249"/>
      <c r="L121" s="249"/>
      <c r="M121" s="251">
        <f t="shared" si="25"/>
        <v>0</v>
      </c>
      <c r="N121" s="251">
        <f t="shared" si="24"/>
        <v>110220000</v>
      </c>
      <c r="R121" s="20"/>
    </row>
    <row r="122" spans="2:18" ht="36.75" customHeight="1" thickBot="1" x14ac:dyDescent="0.3">
      <c r="B122" s="253">
        <v>12</v>
      </c>
      <c r="C122" s="1075" t="s">
        <v>110</v>
      </c>
      <c r="D122" s="1076"/>
      <c r="E122" s="251">
        <f t="shared" si="23"/>
        <v>100900000</v>
      </c>
      <c r="F122" s="252">
        <v>0.02</v>
      </c>
      <c r="G122" s="1073">
        <v>360</v>
      </c>
      <c r="H122" s="1074"/>
      <c r="I122" s="249">
        <v>106000000</v>
      </c>
      <c r="J122" s="249">
        <v>2100000</v>
      </c>
      <c r="K122" s="249"/>
      <c r="L122" s="249"/>
      <c r="M122" s="251">
        <f t="shared" si="25"/>
        <v>0</v>
      </c>
      <c r="N122" s="251">
        <f t="shared" si="24"/>
        <v>108100000</v>
      </c>
      <c r="R122" s="20"/>
    </row>
    <row r="123" spans="2:18" ht="33.75" customHeight="1" thickBot="1" x14ac:dyDescent="0.3">
      <c r="B123" s="1056" t="s">
        <v>23</v>
      </c>
      <c r="C123" s="1057"/>
      <c r="D123" s="1058"/>
      <c r="E123" s="104" t="s">
        <v>30</v>
      </c>
      <c r="F123" s="104" t="s">
        <v>30</v>
      </c>
      <c r="G123" s="1054" t="s">
        <v>30</v>
      </c>
      <c r="H123" s="1055"/>
      <c r="I123" s="135">
        <f>+SUM(I111:I122)</f>
        <v>1060000000</v>
      </c>
      <c r="J123" s="135">
        <f>+SUM(J111:J115)</f>
        <v>57180000</v>
      </c>
      <c r="K123" s="135">
        <f>+SUM(K111:K115)</f>
        <v>424000000</v>
      </c>
      <c r="L123" s="135">
        <f>+SUM(L111:L115)</f>
        <v>99555013.678900003</v>
      </c>
      <c r="M123" s="135">
        <f>+SUM(M111:M115)</f>
        <v>523555013.6789</v>
      </c>
      <c r="N123" s="542">
        <f>+SUM(N111:N122)</f>
        <v>694405166.67000008</v>
      </c>
    </row>
    <row r="124" spans="2:18" ht="46.5" customHeight="1" x14ac:dyDescent="0.25">
      <c r="B124" s="1053" t="s">
        <v>101</v>
      </c>
      <c r="C124" s="1053"/>
      <c r="D124" s="1053"/>
      <c r="E124" s="1053"/>
      <c r="F124" s="1053"/>
      <c r="G124" s="1053"/>
      <c r="H124" s="1053"/>
      <c r="I124" s="1053"/>
      <c r="J124" s="1053"/>
      <c r="K124" s="1053"/>
      <c r="L124" s="1053"/>
    </row>
    <row r="128" spans="2:18" ht="18" x14ac:dyDescent="0.25">
      <c r="B128" s="1048" t="s">
        <v>15</v>
      </c>
      <c r="C128" s="1048" t="s">
        <v>24</v>
      </c>
      <c r="D128" s="1048"/>
      <c r="E128" s="1048" t="s">
        <v>25</v>
      </c>
      <c r="F128" s="1046" t="s">
        <v>18</v>
      </c>
      <c r="G128" s="1046" t="s">
        <v>31</v>
      </c>
      <c r="H128" s="1046" t="s">
        <v>26</v>
      </c>
      <c r="I128" s="1046" t="s">
        <v>57</v>
      </c>
      <c r="J128" s="1046"/>
      <c r="K128" s="1046"/>
      <c r="L128" s="1046" t="s">
        <v>17</v>
      </c>
      <c r="M128" s="1046" t="s">
        <v>59</v>
      </c>
      <c r="N128" s="1046" t="s">
        <v>144</v>
      </c>
    </row>
    <row r="129" spans="2:14" ht="18.75" thickBot="1" x14ac:dyDescent="0.3">
      <c r="B129" s="1049"/>
      <c r="C129" s="1049"/>
      <c r="D129" s="1049"/>
      <c r="E129" s="1049"/>
      <c r="F129" s="1047"/>
      <c r="G129" s="1047"/>
      <c r="H129" s="1047"/>
      <c r="I129" s="601" t="s">
        <v>58</v>
      </c>
      <c r="J129" s="658" t="s">
        <v>55</v>
      </c>
      <c r="K129" s="658" t="s">
        <v>29</v>
      </c>
      <c r="L129" s="1047"/>
      <c r="M129" s="1047"/>
      <c r="N129" s="1047"/>
    </row>
    <row r="130" spans="2:14" ht="18.75" thickBot="1" x14ac:dyDescent="0.3">
      <c r="B130" s="603">
        <v>1</v>
      </c>
      <c r="C130" s="604">
        <v>45658</v>
      </c>
      <c r="D130" s="604">
        <v>45688</v>
      </c>
      <c r="E130" s="605">
        <v>635000000</v>
      </c>
      <c r="F130" s="606">
        <v>0.02</v>
      </c>
      <c r="G130" s="607">
        <f>+D130-C130+1</f>
        <v>31</v>
      </c>
      <c r="H130" s="608">
        <v>360</v>
      </c>
      <c r="I130" s="605"/>
      <c r="J130" s="609">
        <f t="shared" ref="J130:J146" si="26">E130*F130*G130/H130</f>
        <v>1093611.111111111</v>
      </c>
      <c r="K130" s="609">
        <f>I130+J130</f>
        <v>1093611.111111111</v>
      </c>
      <c r="L130" s="609"/>
      <c r="M130" s="609"/>
      <c r="N130" s="610">
        <f>K130-(L130+M130)</f>
        <v>1093611.111111111</v>
      </c>
    </row>
    <row r="131" spans="2:14" ht="18.75" thickBot="1" x14ac:dyDescent="0.3">
      <c r="B131" s="611">
        <v>2</v>
      </c>
      <c r="C131" s="612">
        <v>45689</v>
      </c>
      <c r="D131" s="612">
        <v>45716</v>
      </c>
      <c r="E131" s="435">
        <f t="shared" ref="E131:E146" si="27">+E130-L131</f>
        <v>635000000</v>
      </c>
      <c r="F131" s="441">
        <v>0.02</v>
      </c>
      <c r="G131" s="443">
        <f t="shared" ref="G131:G146" si="28">+D131-C131+1</f>
        <v>28</v>
      </c>
      <c r="H131" s="613">
        <v>360</v>
      </c>
      <c r="I131" s="435"/>
      <c r="J131" s="614">
        <f t="shared" si="26"/>
        <v>987777.77777777775</v>
      </c>
      <c r="K131" s="614">
        <f>I131+J131</f>
        <v>987777.77777777775</v>
      </c>
      <c r="L131" s="614"/>
      <c r="M131" s="614"/>
      <c r="N131" s="610">
        <f>(K131+N130)-(L131+M131)</f>
        <v>2081388.8888888888</v>
      </c>
    </row>
    <row r="132" spans="2:14" ht="18" x14ac:dyDescent="0.25">
      <c r="B132" s="1050">
        <v>3</v>
      </c>
      <c r="C132" s="612">
        <v>45717</v>
      </c>
      <c r="D132" s="612">
        <v>45746</v>
      </c>
      <c r="E132" s="435">
        <f t="shared" si="27"/>
        <v>635000000</v>
      </c>
      <c r="F132" s="441">
        <v>0.02</v>
      </c>
      <c r="G132" s="443">
        <f t="shared" si="28"/>
        <v>30</v>
      </c>
      <c r="H132" s="613">
        <v>360</v>
      </c>
      <c r="I132" s="435"/>
      <c r="J132" s="614">
        <f t="shared" si="26"/>
        <v>1058333.3333333333</v>
      </c>
      <c r="K132" s="614">
        <f t="shared" ref="K132:K143" si="29">I132+J132</f>
        <v>1058333.3333333333</v>
      </c>
      <c r="L132" s="614"/>
      <c r="M132" s="614"/>
      <c r="N132" s="610">
        <f>(K132+N131)-(L132+M132)</f>
        <v>3139722.222222222</v>
      </c>
    </row>
    <row r="133" spans="2:14" ht="18.75" thickBot="1" x14ac:dyDescent="0.3">
      <c r="B133" s="1051"/>
      <c r="C133" s="622">
        <v>45747</v>
      </c>
      <c r="D133" s="622">
        <v>45747</v>
      </c>
      <c r="E133" s="623">
        <f t="shared" si="27"/>
        <v>600000000</v>
      </c>
      <c r="F133" s="624">
        <v>0.02</v>
      </c>
      <c r="G133" s="625">
        <f t="shared" si="28"/>
        <v>1</v>
      </c>
      <c r="H133" s="626">
        <v>360</v>
      </c>
      <c r="I133" s="623">
        <v>35000000</v>
      </c>
      <c r="J133" s="627">
        <f t="shared" si="26"/>
        <v>33333.333333333336</v>
      </c>
      <c r="K133" s="627">
        <f t="shared" si="29"/>
        <v>35033333.333333336</v>
      </c>
      <c r="L133" s="627">
        <v>35000000</v>
      </c>
      <c r="M133" s="627"/>
      <c r="N133" s="628">
        <f>+(N132+K133)-(L133+M133)</f>
        <v>3173055.5555555597</v>
      </c>
    </row>
    <row r="134" spans="2:14" ht="18" x14ac:dyDescent="0.25">
      <c r="B134" s="611">
        <v>4</v>
      </c>
      <c r="C134" s="616">
        <v>45748</v>
      </c>
      <c r="D134" s="616">
        <v>45777</v>
      </c>
      <c r="E134" s="617">
        <f t="shared" si="27"/>
        <v>600000000</v>
      </c>
      <c r="F134" s="618">
        <v>0.02</v>
      </c>
      <c r="G134" s="619">
        <f t="shared" si="28"/>
        <v>30</v>
      </c>
      <c r="H134" s="620">
        <v>360</v>
      </c>
      <c r="I134" s="617"/>
      <c r="J134" s="621">
        <f t="shared" si="26"/>
        <v>1000000</v>
      </c>
      <c r="K134" s="621">
        <f t="shared" si="29"/>
        <v>1000000</v>
      </c>
      <c r="L134" s="621"/>
      <c r="M134" s="621"/>
      <c r="N134" s="621">
        <f t="shared" ref="N134:N146" si="30">(N133+K134)-(L134+M134)</f>
        <v>4173055.5555555597</v>
      </c>
    </row>
    <row r="135" spans="2:14" ht="18" x14ac:dyDescent="0.25">
      <c r="B135" s="611">
        <v>5</v>
      </c>
      <c r="C135" s="612">
        <v>45778</v>
      </c>
      <c r="D135" s="612">
        <v>45808</v>
      </c>
      <c r="E135" s="435">
        <f t="shared" si="27"/>
        <v>600000000</v>
      </c>
      <c r="F135" s="441">
        <v>0.02</v>
      </c>
      <c r="G135" s="443">
        <f t="shared" si="28"/>
        <v>31</v>
      </c>
      <c r="H135" s="613">
        <v>360</v>
      </c>
      <c r="I135" s="435"/>
      <c r="J135" s="614">
        <f t="shared" si="26"/>
        <v>1033333.3333333334</v>
      </c>
      <c r="K135" s="614">
        <f t="shared" si="29"/>
        <v>1033333.3333333334</v>
      </c>
      <c r="L135" s="614"/>
      <c r="M135" s="614"/>
      <c r="N135" s="614">
        <f t="shared" si="30"/>
        <v>5206388.8888888927</v>
      </c>
    </row>
    <row r="136" spans="2:14" ht="18" x14ac:dyDescent="0.25">
      <c r="B136" s="1050">
        <v>6</v>
      </c>
      <c r="C136" s="612">
        <v>45809</v>
      </c>
      <c r="D136" s="612">
        <v>45833</v>
      </c>
      <c r="E136" s="435">
        <f t="shared" si="27"/>
        <v>600000000</v>
      </c>
      <c r="F136" s="441">
        <v>0.02</v>
      </c>
      <c r="G136" s="443">
        <f t="shared" si="28"/>
        <v>25</v>
      </c>
      <c r="H136" s="613">
        <v>360</v>
      </c>
      <c r="I136" s="435"/>
      <c r="J136" s="614">
        <f t="shared" si="26"/>
        <v>833333.33333333337</v>
      </c>
      <c r="K136" s="614">
        <f t="shared" si="29"/>
        <v>833333.33333333337</v>
      </c>
      <c r="L136" s="614"/>
      <c r="M136" s="614"/>
      <c r="N136" s="614">
        <f t="shared" si="30"/>
        <v>6039722.2222222257</v>
      </c>
    </row>
    <row r="137" spans="2:14" ht="18" x14ac:dyDescent="0.25">
      <c r="B137" s="1052"/>
      <c r="C137" s="612">
        <v>45834</v>
      </c>
      <c r="D137" s="612">
        <v>45837</v>
      </c>
      <c r="E137" s="435">
        <f t="shared" si="27"/>
        <v>600000000</v>
      </c>
      <c r="F137" s="441">
        <v>0.02</v>
      </c>
      <c r="G137" s="443">
        <f t="shared" si="28"/>
        <v>4</v>
      </c>
      <c r="H137" s="613">
        <v>360</v>
      </c>
      <c r="I137" s="435"/>
      <c r="J137" s="614">
        <f t="shared" si="26"/>
        <v>133333.33333333334</v>
      </c>
      <c r="K137" s="614">
        <f t="shared" si="29"/>
        <v>133333.33333333334</v>
      </c>
      <c r="L137" s="614"/>
      <c r="M137" s="614"/>
      <c r="N137" s="614">
        <f t="shared" si="30"/>
        <v>6173055.5555555588</v>
      </c>
    </row>
    <row r="138" spans="2:14" ht="18" x14ac:dyDescent="0.25">
      <c r="B138" s="1051"/>
      <c r="C138" s="629">
        <v>45838</v>
      </c>
      <c r="D138" s="629">
        <v>45838</v>
      </c>
      <c r="E138" s="630">
        <f>+E137-L138</f>
        <v>564000000</v>
      </c>
      <c r="F138" s="631">
        <v>0.02</v>
      </c>
      <c r="G138" s="632">
        <f t="shared" si="28"/>
        <v>1</v>
      </c>
      <c r="H138" s="633">
        <v>360</v>
      </c>
      <c r="I138" s="630">
        <v>36000000</v>
      </c>
      <c r="J138" s="634">
        <f t="shared" si="26"/>
        <v>31333.333333333332</v>
      </c>
      <c r="K138" s="634">
        <f t="shared" si="29"/>
        <v>36031333.333333336</v>
      </c>
      <c r="L138" s="634">
        <v>36000000</v>
      </c>
      <c r="M138" s="634"/>
      <c r="N138" s="634">
        <f t="shared" si="30"/>
        <v>6204388.8888888955</v>
      </c>
    </row>
    <row r="139" spans="2:14" ht="18" x14ac:dyDescent="0.25">
      <c r="B139" s="611">
        <v>7</v>
      </c>
      <c r="C139" s="612">
        <v>45839</v>
      </c>
      <c r="D139" s="612">
        <v>45869</v>
      </c>
      <c r="E139" s="435">
        <f t="shared" si="27"/>
        <v>564000000</v>
      </c>
      <c r="F139" s="441">
        <v>0.02</v>
      </c>
      <c r="G139" s="443">
        <f t="shared" si="28"/>
        <v>31</v>
      </c>
      <c r="H139" s="613">
        <v>360</v>
      </c>
      <c r="I139" s="435"/>
      <c r="J139" s="614">
        <f t="shared" si="26"/>
        <v>971333.33333333337</v>
      </c>
      <c r="K139" s="614">
        <f t="shared" si="29"/>
        <v>971333.33333333337</v>
      </c>
      <c r="L139" s="614"/>
      <c r="M139" s="614"/>
      <c r="N139" s="614">
        <f t="shared" si="30"/>
        <v>7175722.2222222285</v>
      </c>
    </row>
    <row r="140" spans="2:14" ht="18" x14ac:dyDescent="0.25">
      <c r="B140" s="611">
        <v>8</v>
      </c>
      <c r="C140" s="612">
        <v>45870</v>
      </c>
      <c r="D140" s="612">
        <v>45900</v>
      </c>
      <c r="E140" s="435">
        <f t="shared" si="27"/>
        <v>564000000</v>
      </c>
      <c r="F140" s="441">
        <v>0.02</v>
      </c>
      <c r="G140" s="443">
        <f t="shared" si="28"/>
        <v>31</v>
      </c>
      <c r="H140" s="613">
        <v>360</v>
      </c>
      <c r="I140" s="435"/>
      <c r="J140" s="614">
        <f t="shared" si="26"/>
        <v>971333.33333333337</v>
      </c>
      <c r="K140" s="614">
        <f t="shared" si="29"/>
        <v>971333.33333333337</v>
      </c>
      <c r="L140" s="614"/>
      <c r="M140" s="614"/>
      <c r="N140" s="614">
        <f t="shared" si="30"/>
        <v>8147055.5555555616</v>
      </c>
    </row>
    <row r="141" spans="2:14" ht="18" x14ac:dyDescent="0.25">
      <c r="B141" s="611">
        <v>9</v>
      </c>
      <c r="C141" s="612">
        <v>45901</v>
      </c>
      <c r="D141" s="612">
        <v>45929</v>
      </c>
      <c r="E141" s="435">
        <f t="shared" si="27"/>
        <v>564000000</v>
      </c>
      <c r="F141" s="441">
        <v>0.02</v>
      </c>
      <c r="G141" s="443">
        <f t="shared" si="28"/>
        <v>29</v>
      </c>
      <c r="H141" s="613">
        <v>360</v>
      </c>
      <c r="I141" s="435"/>
      <c r="J141" s="614">
        <f t="shared" si="26"/>
        <v>908666.66666666663</v>
      </c>
      <c r="K141" s="614">
        <f t="shared" si="29"/>
        <v>908666.66666666663</v>
      </c>
      <c r="L141" s="614"/>
      <c r="M141" s="614"/>
      <c r="N141" s="614">
        <f t="shared" si="30"/>
        <v>9055722.2222222276</v>
      </c>
    </row>
    <row r="142" spans="2:14" ht="18" x14ac:dyDescent="0.25">
      <c r="B142" s="875">
        <v>10</v>
      </c>
      <c r="C142" s="629">
        <v>45930</v>
      </c>
      <c r="D142" s="629">
        <v>45930</v>
      </c>
      <c r="E142" s="630">
        <f t="shared" si="27"/>
        <v>539000000</v>
      </c>
      <c r="F142" s="631">
        <v>0.02</v>
      </c>
      <c r="G142" s="632">
        <f t="shared" si="28"/>
        <v>1</v>
      </c>
      <c r="H142" s="633">
        <v>360</v>
      </c>
      <c r="I142" s="630">
        <v>25000000</v>
      </c>
      <c r="J142" s="634">
        <f t="shared" si="26"/>
        <v>29944.444444444445</v>
      </c>
      <c r="K142" s="634">
        <f t="shared" si="29"/>
        <v>25029944.444444444</v>
      </c>
      <c r="L142" s="634">
        <v>25000000</v>
      </c>
      <c r="M142" s="634"/>
      <c r="N142" s="634">
        <f t="shared" si="30"/>
        <v>9085666.6666666716</v>
      </c>
    </row>
    <row r="143" spans="2:14" ht="18" x14ac:dyDescent="0.25">
      <c r="B143" s="611">
        <v>11</v>
      </c>
      <c r="C143" s="612">
        <v>45931</v>
      </c>
      <c r="D143" s="612">
        <v>45961</v>
      </c>
      <c r="E143" s="435">
        <f t="shared" si="27"/>
        <v>539000000</v>
      </c>
      <c r="F143" s="441">
        <v>0.02</v>
      </c>
      <c r="G143" s="443">
        <f t="shared" si="28"/>
        <v>31</v>
      </c>
      <c r="H143" s="613">
        <v>360</v>
      </c>
      <c r="I143" s="435"/>
      <c r="J143" s="614">
        <f t="shared" si="26"/>
        <v>928277.77777777775</v>
      </c>
      <c r="K143" s="614">
        <f t="shared" si="29"/>
        <v>928277.77777777775</v>
      </c>
      <c r="L143" s="614"/>
      <c r="M143" s="614"/>
      <c r="N143" s="614">
        <f t="shared" si="30"/>
        <v>10013944.44444445</v>
      </c>
    </row>
    <row r="144" spans="2:14" ht="18" x14ac:dyDescent="0.25">
      <c r="B144" s="611">
        <v>12</v>
      </c>
      <c r="C144" s="612">
        <v>45962</v>
      </c>
      <c r="D144" s="612">
        <v>45990</v>
      </c>
      <c r="E144" s="435">
        <f t="shared" si="27"/>
        <v>539000000</v>
      </c>
      <c r="F144" s="441">
        <v>0.02</v>
      </c>
      <c r="G144" s="443">
        <f t="shared" si="28"/>
        <v>29</v>
      </c>
      <c r="H144" s="613">
        <v>360</v>
      </c>
      <c r="I144" s="435"/>
      <c r="J144" s="614">
        <f t="shared" si="26"/>
        <v>868388.88888888888</v>
      </c>
      <c r="K144" s="614">
        <f>I144+J144</f>
        <v>868388.88888888888</v>
      </c>
      <c r="L144" s="614"/>
      <c r="M144" s="614"/>
      <c r="N144" s="614">
        <f t="shared" si="30"/>
        <v>10882333.333333338</v>
      </c>
    </row>
    <row r="145" spans="2:14" ht="18" x14ac:dyDescent="0.25">
      <c r="B145" s="875">
        <v>13</v>
      </c>
      <c r="C145" s="629">
        <v>45991</v>
      </c>
      <c r="D145" s="629">
        <v>45991</v>
      </c>
      <c r="E145" s="630">
        <f t="shared" si="27"/>
        <v>529000000</v>
      </c>
      <c r="F145" s="631">
        <v>0.02</v>
      </c>
      <c r="G145" s="632">
        <f t="shared" si="28"/>
        <v>1</v>
      </c>
      <c r="H145" s="633">
        <v>360</v>
      </c>
      <c r="I145" s="630">
        <v>10000000</v>
      </c>
      <c r="J145" s="634">
        <f t="shared" si="26"/>
        <v>29388.888888888891</v>
      </c>
      <c r="K145" s="634">
        <f>I145+J145</f>
        <v>10029388.888888888</v>
      </c>
      <c r="L145" s="634">
        <v>10000000</v>
      </c>
      <c r="M145" s="634"/>
      <c r="N145" s="634">
        <f t="shared" si="30"/>
        <v>10911722.222222224</v>
      </c>
    </row>
    <row r="146" spans="2:14" ht="18" x14ac:dyDescent="0.25">
      <c r="B146" s="611">
        <v>14</v>
      </c>
      <c r="C146" s="612">
        <v>45992</v>
      </c>
      <c r="D146" s="612">
        <v>46022</v>
      </c>
      <c r="E146" s="435">
        <f t="shared" si="27"/>
        <v>529000000</v>
      </c>
      <c r="F146" s="441">
        <v>0.02</v>
      </c>
      <c r="G146" s="443">
        <f t="shared" si="28"/>
        <v>31</v>
      </c>
      <c r="H146" s="613">
        <v>360</v>
      </c>
      <c r="I146" s="435"/>
      <c r="J146" s="614">
        <f t="shared" si="26"/>
        <v>911055.5555555555</v>
      </c>
      <c r="K146" s="614">
        <f>I146+J146</f>
        <v>911055.5555555555</v>
      </c>
      <c r="L146" s="614"/>
      <c r="M146" s="614"/>
      <c r="N146" s="614">
        <f t="shared" si="30"/>
        <v>11822777.77777778</v>
      </c>
    </row>
    <row r="147" spans="2:14" ht="18" x14ac:dyDescent="0.25">
      <c r="B147" s="448"/>
      <c r="C147" s="399"/>
      <c r="D147" s="399"/>
      <c r="E147" s="400" t="s">
        <v>30</v>
      </c>
      <c r="F147" s="401" t="s">
        <v>30</v>
      </c>
      <c r="G147" s="402">
        <f>SUM(G130:G146)</f>
        <v>365</v>
      </c>
      <c r="H147" s="402"/>
      <c r="I147" s="403">
        <f>SUM(I130:I146)</f>
        <v>106000000</v>
      </c>
      <c r="J147" s="400">
        <f>SUM(J130:J146)</f>
        <v>11822777.777777774</v>
      </c>
      <c r="K147" s="400">
        <f>SUM(K130:K146)</f>
        <v>117822777.77777779</v>
      </c>
      <c r="L147" s="400">
        <f>SUM(L130:L138)</f>
        <v>71000000</v>
      </c>
      <c r="M147" s="400">
        <f>SUM(M130:M146)</f>
        <v>0</v>
      </c>
      <c r="N147" s="400">
        <f>+N146</f>
        <v>11822777.77777778</v>
      </c>
    </row>
    <row r="149" spans="2:14" ht="18" x14ac:dyDescent="0.25">
      <c r="E149" s="228"/>
      <c r="J149" s="400">
        <v>11822777.777777774</v>
      </c>
    </row>
    <row r="150" spans="2:14" x14ac:dyDescent="0.25">
      <c r="J150" t="s">
        <v>225</v>
      </c>
    </row>
    <row r="152" spans="2:14" ht="18" x14ac:dyDescent="0.25">
      <c r="B152" s="1048" t="s">
        <v>15</v>
      </c>
      <c r="C152" s="1048" t="s">
        <v>24</v>
      </c>
      <c r="D152" s="1048"/>
      <c r="E152" s="1048" t="s">
        <v>25</v>
      </c>
      <c r="F152" s="1046" t="s">
        <v>18</v>
      </c>
      <c r="G152" s="1046" t="s">
        <v>31</v>
      </c>
      <c r="H152" s="1046" t="s">
        <v>26</v>
      </c>
      <c r="I152" s="1046" t="s">
        <v>57</v>
      </c>
      <c r="J152" s="1046"/>
      <c r="K152" s="1046"/>
      <c r="L152" s="1046" t="s">
        <v>17</v>
      </c>
      <c r="M152" s="1046" t="s">
        <v>59</v>
      </c>
      <c r="N152" s="1046" t="s">
        <v>144</v>
      </c>
    </row>
    <row r="153" spans="2:14" ht="18.75" thickBot="1" x14ac:dyDescent="0.3">
      <c r="B153" s="1049"/>
      <c r="C153" s="1049"/>
      <c r="D153" s="1049"/>
      <c r="E153" s="1049"/>
      <c r="F153" s="1047"/>
      <c r="G153" s="1047"/>
      <c r="H153" s="1047"/>
      <c r="I153" s="601" t="s">
        <v>58</v>
      </c>
      <c r="J153" s="706" t="s">
        <v>55</v>
      </c>
      <c r="K153" s="706" t="s">
        <v>29</v>
      </c>
      <c r="L153" s="1047"/>
      <c r="M153" s="1047"/>
      <c r="N153" s="1047"/>
    </row>
    <row r="154" spans="2:14" ht="18.75" thickBot="1" x14ac:dyDescent="0.3">
      <c r="B154" s="603">
        <v>1</v>
      </c>
      <c r="C154" s="604">
        <v>46023</v>
      </c>
      <c r="D154" s="604">
        <v>46053</v>
      </c>
      <c r="E154" s="605">
        <v>423000000</v>
      </c>
      <c r="F154" s="606">
        <v>0.02</v>
      </c>
      <c r="G154" s="607">
        <f>+D154-C154+1</f>
        <v>31</v>
      </c>
      <c r="H154" s="608">
        <v>360</v>
      </c>
      <c r="I154" s="605"/>
      <c r="J154" s="609">
        <f t="shared" ref="J154:J170" si="31">E154*F154*G154/H154</f>
        <v>728500</v>
      </c>
      <c r="K154" s="609">
        <f>I154+J154</f>
        <v>728500</v>
      </c>
      <c r="L154" s="609"/>
      <c r="M154" s="609"/>
      <c r="N154" s="610">
        <f>K154-(L154+M154)</f>
        <v>728500</v>
      </c>
    </row>
    <row r="155" spans="2:14" ht="18.75" thickBot="1" x14ac:dyDescent="0.3">
      <c r="B155" s="707">
        <v>2</v>
      </c>
      <c r="C155" s="612">
        <v>46054</v>
      </c>
      <c r="D155" s="612">
        <v>46081</v>
      </c>
      <c r="E155" s="435">
        <f t="shared" ref="E155:E161" si="32">+E154-L155</f>
        <v>423000000</v>
      </c>
      <c r="F155" s="441">
        <v>0.02</v>
      </c>
      <c r="G155" s="443">
        <f t="shared" ref="G155:G170" si="33">+D155-C155+1</f>
        <v>28</v>
      </c>
      <c r="H155" s="613">
        <v>360</v>
      </c>
      <c r="I155" s="435"/>
      <c r="J155" s="614">
        <f t="shared" si="31"/>
        <v>658000</v>
      </c>
      <c r="K155" s="614">
        <f>I155+J155</f>
        <v>658000</v>
      </c>
      <c r="L155" s="614"/>
      <c r="M155" s="614"/>
      <c r="N155" s="610">
        <f>(K155+N154)-(L155+M155)</f>
        <v>1386500</v>
      </c>
    </row>
    <row r="156" spans="2:14" ht="18" x14ac:dyDescent="0.25">
      <c r="B156" s="1050">
        <v>3</v>
      </c>
      <c r="C156" s="612">
        <v>46082</v>
      </c>
      <c r="D156" s="612">
        <v>46111</v>
      </c>
      <c r="E156" s="435">
        <f t="shared" si="32"/>
        <v>423000000</v>
      </c>
      <c r="F156" s="441">
        <v>0.02</v>
      </c>
      <c r="G156" s="443">
        <f t="shared" si="33"/>
        <v>30</v>
      </c>
      <c r="H156" s="613">
        <v>360</v>
      </c>
      <c r="I156" s="435"/>
      <c r="J156" s="614">
        <f t="shared" si="31"/>
        <v>705000</v>
      </c>
      <c r="K156" s="614">
        <f t="shared" ref="K156:K167" si="34">I156+J156</f>
        <v>705000</v>
      </c>
      <c r="L156" s="614"/>
      <c r="M156" s="614"/>
      <c r="N156" s="610">
        <f>(K156+N155)-(L156+M156)</f>
        <v>2091500</v>
      </c>
    </row>
    <row r="157" spans="2:14" ht="18.75" thickBot="1" x14ac:dyDescent="0.3">
      <c r="B157" s="1051"/>
      <c r="C157" s="622">
        <v>46112</v>
      </c>
      <c r="D157" s="622">
        <v>46112</v>
      </c>
      <c r="E157" s="623">
        <f t="shared" si="32"/>
        <v>388000000</v>
      </c>
      <c r="F157" s="624">
        <v>0.02</v>
      </c>
      <c r="G157" s="625">
        <f t="shared" si="33"/>
        <v>1</v>
      </c>
      <c r="H157" s="626">
        <v>360</v>
      </c>
      <c r="I157" s="623">
        <v>35000000</v>
      </c>
      <c r="J157" s="627">
        <f t="shared" si="31"/>
        <v>21555.555555555555</v>
      </c>
      <c r="K157" s="627">
        <f t="shared" si="34"/>
        <v>35021555.555555552</v>
      </c>
      <c r="L157" s="627">
        <v>35000000</v>
      </c>
      <c r="M157" s="627"/>
      <c r="N157" s="628">
        <f>+(N156+K157)-(L157+M157)</f>
        <v>2113055.5555555522</v>
      </c>
    </row>
    <row r="158" spans="2:14" ht="18" x14ac:dyDescent="0.25">
      <c r="B158" s="707">
        <v>4</v>
      </c>
      <c r="C158" s="616">
        <v>46113</v>
      </c>
      <c r="D158" s="616">
        <v>46142</v>
      </c>
      <c r="E158" s="617">
        <f t="shared" si="32"/>
        <v>388000000</v>
      </c>
      <c r="F158" s="618">
        <v>0.02</v>
      </c>
      <c r="G158" s="619">
        <f t="shared" si="33"/>
        <v>30</v>
      </c>
      <c r="H158" s="620">
        <v>360</v>
      </c>
      <c r="I158" s="617"/>
      <c r="J158" s="621">
        <f t="shared" si="31"/>
        <v>646666.66666666663</v>
      </c>
      <c r="K158" s="621">
        <f t="shared" si="34"/>
        <v>646666.66666666663</v>
      </c>
      <c r="L158" s="621"/>
      <c r="M158" s="621"/>
      <c r="N158" s="621">
        <f t="shared" ref="N158:N170" si="35">(N157+K158)-(L158+M158)</f>
        <v>2759722.2222222188</v>
      </c>
    </row>
    <row r="159" spans="2:14" ht="18" x14ac:dyDescent="0.25">
      <c r="B159" s="707">
        <v>5</v>
      </c>
      <c r="C159" s="612">
        <v>46143</v>
      </c>
      <c r="D159" s="612">
        <v>46173</v>
      </c>
      <c r="E159" s="435">
        <f t="shared" si="32"/>
        <v>388000000</v>
      </c>
      <c r="F159" s="441">
        <v>0.02</v>
      </c>
      <c r="G159" s="443">
        <f t="shared" si="33"/>
        <v>31</v>
      </c>
      <c r="H159" s="613">
        <v>360</v>
      </c>
      <c r="I159" s="435"/>
      <c r="J159" s="614">
        <f t="shared" si="31"/>
        <v>668222.22222222225</v>
      </c>
      <c r="K159" s="614">
        <f t="shared" si="34"/>
        <v>668222.22222222225</v>
      </c>
      <c r="L159" s="614"/>
      <c r="M159" s="614"/>
      <c r="N159" s="614">
        <f t="shared" si="35"/>
        <v>3427944.4444444412</v>
      </c>
    </row>
    <row r="160" spans="2:14" ht="18" x14ac:dyDescent="0.25">
      <c r="B160" s="1050">
        <v>6</v>
      </c>
      <c r="C160" s="612">
        <v>46174</v>
      </c>
      <c r="D160" s="612">
        <v>46198</v>
      </c>
      <c r="E160" s="435">
        <f t="shared" si="32"/>
        <v>388000000</v>
      </c>
      <c r="F160" s="441">
        <v>0.02</v>
      </c>
      <c r="G160" s="443">
        <f t="shared" si="33"/>
        <v>25</v>
      </c>
      <c r="H160" s="613">
        <v>360</v>
      </c>
      <c r="I160" s="435"/>
      <c r="J160" s="614">
        <f t="shared" si="31"/>
        <v>538888.88888888888</v>
      </c>
      <c r="K160" s="614">
        <f t="shared" si="34"/>
        <v>538888.88888888888</v>
      </c>
      <c r="L160" s="614"/>
      <c r="M160" s="614"/>
      <c r="N160" s="614">
        <f t="shared" si="35"/>
        <v>3966833.3333333302</v>
      </c>
    </row>
    <row r="161" spans="2:14" ht="18" x14ac:dyDescent="0.25">
      <c r="B161" s="1052"/>
      <c r="C161" s="612">
        <v>46199</v>
      </c>
      <c r="D161" s="612">
        <v>46202</v>
      </c>
      <c r="E161" s="435">
        <f t="shared" si="32"/>
        <v>388000000</v>
      </c>
      <c r="F161" s="441">
        <v>0.02</v>
      </c>
      <c r="G161" s="443">
        <f t="shared" si="33"/>
        <v>4</v>
      </c>
      <c r="H161" s="613">
        <v>360</v>
      </c>
      <c r="I161" s="435"/>
      <c r="J161" s="614">
        <f t="shared" si="31"/>
        <v>86222.222222222219</v>
      </c>
      <c r="K161" s="614">
        <f t="shared" si="34"/>
        <v>86222.222222222219</v>
      </c>
      <c r="L161" s="614"/>
      <c r="M161" s="614"/>
      <c r="N161" s="614">
        <f t="shared" si="35"/>
        <v>4053055.5555555522</v>
      </c>
    </row>
    <row r="162" spans="2:14" ht="18" x14ac:dyDescent="0.25">
      <c r="B162" s="1051"/>
      <c r="C162" s="629">
        <v>46203</v>
      </c>
      <c r="D162" s="629">
        <v>46203</v>
      </c>
      <c r="E162" s="630">
        <f>+E161-L162</f>
        <v>352000000</v>
      </c>
      <c r="F162" s="631">
        <v>0.02</v>
      </c>
      <c r="G162" s="632">
        <f t="shared" si="33"/>
        <v>1</v>
      </c>
      <c r="H162" s="633">
        <v>360</v>
      </c>
      <c r="I162" s="630">
        <v>36000000</v>
      </c>
      <c r="J162" s="634">
        <f t="shared" si="31"/>
        <v>19555.555555555555</v>
      </c>
      <c r="K162" s="634">
        <f t="shared" si="34"/>
        <v>36019555.555555552</v>
      </c>
      <c r="L162" s="634">
        <v>36000000</v>
      </c>
      <c r="M162" s="634"/>
      <c r="N162" s="634">
        <f t="shared" si="35"/>
        <v>4072611.1111111045</v>
      </c>
    </row>
    <row r="163" spans="2:14" ht="18" x14ac:dyDescent="0.25">
      <c r="B163" s="707">
        <v>7</v>
      </c>
      <c r="C163" s="612">
        <v>46204</v>
      </c>
      <c r="D163" s="612">
        <v>46234</v>
      </c>
      <c r="E163" s="435">
        <f t="shared" ref="E163:E170" si="36">+E162-L163</f>
        <v>352000000</v>
      </c>
      <c r="F163" s="441">
        <v>0.02</v>
      </c>
      <c r="G163" s="443">
        <f t="shared" si="33"/>
        <v>31</v>
      </c>
      <c r="H163" s="613">
        <v>360</v>
      </c>
      <c r="I163" s="435"/>
      <c r="J163" s="614">
        <f t="shared" si="31"/>
        <v>606222.22222222225</v>
      </c>
      <c r="K163" s="614">
        <f t="shared" si="34"/>
        <v>606222.22222222225</v>
      </c>
      <c r="L163" s="614"/>
      <c r="M163" s="614"/>
      <c r="N163" s="614">
        <f t="shared" si="35"/>
        <v>4678833.3333333265</v>
      </c>
    </row>
    <row r="164" spans="2:14" ht="18" x14ac:dyDescent="0.25">
      <c r="B164" s="707">
        <v>8</v>
      </c>
      <c r="C164" s="612">
        <v>46235</v>
      </c>
      <c r="D164" s="612">
        <v>46265</v>
      </c>
      <c r="E164" s="435">
        <f t="shared" si="36"/>
        <v>352000000</v>
      </c>
      <c r="F164" s="441">
        <v>0.02</v>
      </c>
      <c r="G164" s="443">
        <f t="shared" si="33"/>
        <v>31</v>
      </c>
      <c r="H164" s="613">
        <v>360</v>
      </c>
      <c r="I164" s="435"/>
      <c r="J164" s="614">
        <f t="shared" si="31"/>
        <v>606222.22222222225</v>
      </c>
      <c r="K164" s="614">
        <f t="shared" si="34"/>
        <v>606222.22222222225</v>
      </c>
      <c r="L164" s="614"/>
      <c r="M164" s="614"/>
      <c r="N164" s="614">
        <f t="shared" si="35"/>
        <v>5285055.5555555485</v>
      </c>
    </row>
    <row r="165" spans="2:14" ht="18" x14ac:dyDescent="0.25">
      <c r="B165" s="875">
        <v>9</v>
      </c>
      <c r="C165" s="612">
        <v>46266</v>
      </c>
      <c r="D165" s="612">
        <v>46294</v>
      </c>
      <c r="E165" s="435">
        <f t="shared" si="36"/>
        <v>352000000</v>
      </c>
      <c r="F165" s="441">
        <v>0.02</v>
      </c>
      <c r="G165" s="443">
        <f t="shared" si="33"/>
        <v>29</v>
      </c>
      <c r="H165" s="613">
        <v>360</v>
      </c>
      <c r="I165" s="435"/>
      <c r="J165" s="614">
        <f t="shared" si="31"/>
        <v>567111.11111111112</v>
      </c>
      <c r="K165" s="614">
        <f t="shared" si="34"/>
        <v>567111.11111111112</v>
      </c>
      <c r="L165" s="614"/>
      <c r="M165" s="614"/>
      <c r="N165" s="614">
        <f t="shared" si="35"/>
        <v>5852166.6666666595</v>
      </c>
    </row>
    <row r="166" spans="2:14" ht="18" x14ac:dyDescent="0.25">
      <c r="B166" s="875">
        <v>10</v>
      </c>
      <c r="C166" s="629">
        <v>46295</v>
      </c>
      <c r="D166" s="629">
        <v>46295</v>
      </c>
      <c r="E166" s="630">
        <f t="shared" si="36"/>
        <v>327000000</v>
      </c>
      <c r="F166" s="631">
        <v>0.02</v>
      </c>
      <c r="G166" s="632">
        <f t="shared" si="33"/>
        <v>1</v>
      </c>
      <c r="H166" s="633">
        <v>360</v>
      </c>
      <c r="I166" s="630">
        <v>25000000</v>
      </c>
      <c r="J166" s="634">
        <f t="shared" si="31"/>
        <v>18166.666666666668</v>
      </c>
      <c r="K166" s="634">
        <f t="shared" si="34"/>
        <v>25018166.666666668</v>
      </c>
      <c r="L166" s="634">
        <v>25000000</v>
      </c>
      <c r="M166" s="634"/>
      <c r="N166" s="634">
        <f t="shared" si="35"/>
        <v>5870333.3333333284</v>
      </c>
    </row>
    <row r="167" spans="2:14" ht="18" x14ac:dyDescent="0.25">
      <c r="B167" s="875">
        <v>11</v>
      </c>
      <c r="C167" s="612">
        <v>46296</v>
      </c>
      <c r="D167" s="612">
        <v>46326</v>
      </c>
      <c r="E167" s="435">
        <f t="shared" si="36"/>
        <v>327000000</v>
      </c>
      <c r="F167" s="441">
        <v>0.02</v>
      </c>
      <c r="G167" s="443">
        <f t="shared" si="33"/>
        <v>31</v>
      </c>
      <c r="H167" s="613">
        <v>360</v>
      </c>
      <c r="I167" s="435"/>
      <c r="J167" s="614">
        <f t="shared" si="31"/>
        <v>563166.66666666663</v>
      </c>
      <c r="K167" s="614">
        <f t="shared" si="34"/>
        <v>563166.66666666663</v>
      </c>
      <c r="L167" s="614"/>
      <c r="M167" s="614"/>
      <c r="N167" s="614">
        <f t="shared" si="35"/>
        <v>6433499.9999999953</v>
      </c>
    </row>
    <row r="168" spans="2:14" ht="18" x14ac:dyDescent="0.25">
      <c r="B168" s="875">
        <v>12</v>
      </c>
      <c r="C168" s="612">
        <v>46327</v>
      </c>
      <c r="D168" s="612">
        <v>46355</v>
      </c>
      <c r="E168" s="435">
        <f t="shared" si="36"/>
        <v>327000000</v>
      </c>
      <c r="F168" s="441">
        <v>0.02</v>
      </c>
      <c r="G168" s="443">
        <f t="shared" si="33"/>
        <v>29</v>
      </c>
      <c r="H168" s="613">
        <v>360</v>
      </c>
      <c r="I168" s="435"/>
      <c r="J168" s="614">
        <f t="shared" si="31"/>
        <v>526833.33333333337</v>
      </c>
      <c r="K168" s="614">
        <f>I168+J168</f>
        <v>526833.33333333337</v>
      </c>
      <c r="L168" s="614"/>
      <c r="M168" s="614"/>
      <c r="N168" s="614">
        <f t="shared" si="35"/>
        <v>6960333.3333333284</v>
      </c>
    </row>
    <row r="169" spans="2:14" ht="18" x14ac:dyDescent="0.25">
      <c r="B169" s="875">
        <v>13</v>
      </c>
      <c r="C169" s="629">
        <v>46356</v>
      </c>
      <c r="D169" s="629">
        <v>46356</v>
      </c>
      <c r="E169" s="630">
        <f t="shared" si="36"/>
        <v>317000000</v>
      </c>
      <c r="F169" s="631">
        <v>0.02</v>
      </c>
      <c r="G169" s="632">
        <f t="shared" si="33"/>
        <v>1</v>
      </c>
      <c r="H169" s="633">
        <v>360</v>
      </c>
      <c r="I169" s="630">
        <v>10000000</v>
      </c>
      <c r="J169" s="634">
        <f t="shared" si="31"/>
        <v>17611.111111111109</v>
      </c>
      <c r="K169" s="634">
        <f>I169+J169</f>
        <v>10017611.111111112</v>
      </c>
      <c r="L169" s="634">
        <v>10000000</v>
      </c>
      <c r="M169" s="634"/>
      <c r="N169" s="634">
        <f t="shared" si="35"/>
        <v>6977944.4444444403</v>
      </c>
    </row>
    <row r="170" spans="2:14" ht="18" x14ac:dyDescent="0.25">
      <c r="B170" s="707">
        <v>14</v>
      </c>
      <c r="C170" s="612">
        <v>46357</v>
      </c>
      <c r="D170" s="612">
        <v>46387</v>
      </c>
      <c r="E170" s="435">
        <f t="shared" si="36"/>
        <v>317000000</v>
      </c>
      <c r="F170" s="441">
        <v>0.02</v>
      </c>
      <c r="G170" s="443">
        <f t="shared" si="33"/>
        <v>31</v>
      </c>
      <c r="H170" s="613">
        <v>360</v>
      </c>
      <c r="I170" s="435"/>
      <c r="J170" s="614">
        <f t="shared" si="31"/>
        <v>545944.4444444445</v>
      </c>
      <c r="K170" s="614">
        <f>I170+J170</f>
        <v>545944.4444444445</v>
      </c>
      <c r="L170" s="614"/>
      <c r="M170" s="614"/>
      <c r="N170" s="614">
        <f t="shared" si="35"/>
        <v>7523888.8888888843</v>
      </c>
    </row>
    <row r="171" spans="2:14" ht="18" x14ac:dyDescent="0.25">
      <c r="B171" s="448"/>
      <c r="C171" s="399"/>
      <c r="D171" s="399"/>
      <c r="E171" s="400" t="s">
        <v>30</v>
      </c>
      <c r="F171" s="401" t="s">
        <v>30</v>
      </c>
      <c r="G171" s="402">
        <f>SUM(G154:G170)</f>
        <v>365</v>
      </c>
      <c r="H171" s="402"/>
      <c r="I171" s="403">
        <f>SUM(I154:I170)</f>
        <v>106000000</v>
      </c>
      <c r="J171" s="400">
        <f>SUM(J154:J170)</f>
        <v>7523888.8888888881</v>
      </c>
      <c r="K171" s="400">
        <f>SUM(K154:K170)</f>
        <v>113523888.8888889</v>
      </c>
      <c r="L171" s="400">
        <f>SUM(L154:L162)</f>
        <v>71000000</v>
      </c>
      <c r="M171" s="400">
        <f>SUM(M154:M170)</f>
        <v>0</v>
      </c>
      <c r="N171" s="400">
        <f>+N170</f>
        <v>7523888.8888888843</v>
      </c>
    </row>
    <row r="178" spans="2:14" ht="18" x14ac:dyDescent="0.25">
      <c r="B178" s="1048" t="s">
        <v>15</v>
      </c>
      <c r="C178" s="1048" t="s">
        <v>24</v>
      </c>
      <c r="D178" s="1048"/>
      <c r="E178" s="1048" t="s">
        <v>25</v>
      </c>
      <c r="F178" s="1046" t="s">
        <v>18</v>
      </c>
      <c r="G178" s="1046" t="s">
        <v>31</v>
      </c>
      <c r="H178" s="1046" t="s">
        <v>26</v>
      </c>
      <c r="I178" s="1046" t="s">
        <v>57</v>
      </c>
      <c r="J178" s="1046"/>
      <c r="K178" s="1046"/>
      <c r="L178" s="1046" t="s">
        <v>17</v>
      </c>
      <c r="M178" s="1046" t="s">
        <v>59</v>
      </c>
      <c r="N178" s="1046" t="s">
        <v>144</v>
      </c>
    </row>
    <row r="179" spans="2:14" ht="18.75" thickBot="1" x14ac:dyDescent="0.3">
      <c r="B179" s="1049"/>
      <c r="C179" s="1049"/>
      <c r="D179" s="1049"/>
      <c r="E179" s="1049"/>
      <c r="F179" s="1047"/>
      <c r="G179" s="1047"/>
      <c r="H179" s="1047"/>
      <c r="I179" s="601" t="s">
        <v>58</v>
      </c>
      <c r="J179" s="809" t="s">
        <v>55</v>
      </c>
      <c r="K179" s="809" t="s">
        <v>29</v>
      </c>
      <c r="L179" s="1047"/>
      <c r="M179" s="1047"/>
      <c r="N179" s="1047"/>
    </row>
    <row r="180" spans="2:14" ht="18" x14ac:dyDescent="0.25">
      <c r="B180" s="603">
        <v>1</v>
      </c>
      <c r="C180" s="604">
        <v>46023</v>
      </c>
      <c r="D180" s="604">
        <v>46111</v>
      </c>
      <c r="E180" s="605">
        <v>423000000</v>
      </c>
      <c r="F180" s="606">
        <v>0.02</v>
      </c>
      <c r="G180" s="607">
        <f>+D180-C180+1</f>
        <v>89</v>
      </c>
      <c r="H180" s="608">
        <v>360</v>
      </c>
      <c r="I180" s="605"/>
      <c r="J180" s="609">
        <f t="shared" ref="J180:J188" si="37">E180*F180*G180/H180</f>
        <v>2091500</v>
      </c>
      <c r="K180" s="609">
        <f>I180+J180</f>
        <v>2091500</v>
      </c>
      <c r="L180" s="609"/>
      <c r="M180" s="609"/>
      <c r="N180" s="610">
        <f>K180-(L180+M180)</f>
        <v>2091500</v>
      </c>
    </row>
    <row r="181" spans="2:14" ht="18.75" thickBot="1" x14ac:dyDescent="0.3">
      <c r="B181" s="810"/>
      <c r="C181" s="812">
        <v>46112</v>
      </c>
      <c r="D181" s="812">
        <v>46112</v>
      </c>
      <c r="E181" s="813">
        <f>+E180-L181</f>
        <v>388000000</v>
      </c>
      <c r="F181" s="814">
        <v>0.02</v>
      </c>
      <c r="G181" s="815">
        <f t="shared" ref="G181:G188" si="38">+D181-C181+1</f>
        <v>1</v>
      </c>
      <c r="H181" s="816">
        <v>360</v>
      </c>
      <c r="I181" s="813">
        <v>35000000</v>
      </c>
      <c r="J181" s="817">
        <f t="shared" si="37"/>
        <v>21555.555555555555</v>
      </c>
      <c r="K181" s="817">
        <f t="shared" ref="K181:K186" si="39">I181+J181</f>
        <v>35021555.555555552</v>
      </c>
      <c r="L181" s="817">
        <v>35000000</v>
      </c>
      <c r="M181" s="817"/>
      <c r="N181" s="818">
        <f>+(N180+K181)-(L181+M181)</f>
        <v>2113055.5555555522</v>
      </c>
    </row>
    <row r="182" spans="2:14" ht="18" x14ac:dyDescent="0.25">
      <c r="B182" s="811">
        <v>4</v>
      </c>
      <c r="C182" s="616">
        <v>46113</v>
      </c>
      <c r="D182" s="616">
        <v>46202</v>
      </c>
      <c r="E182" s="617">
        <f t="shared" ref="E182" si="40">+E181-L182</f>
        <v>388000000</v>
      </c>
      <c r="F182" s="618">
        <v>0.02</v>
      </c>
      <c r="G182" s="619">
        <f t="shared" si="38"/>
        <v>90</v>
      </c>
      <c r="H182" s="620">
        <v>360</v>
      </c>
      <c r="I182" s="617"/>
      <c r="J182" s="621">
        <f t="shared" si="37"/>
        <v>1940000</v>
      </c>
      <c r="K182" s="621">
        <f t="shared" si="39"/>
        <v>1940000</v>
      </c>
      <c r="L182" s="621"/>
      <c r="M182" s="621"/>
      <c r="N182" s="621">
        <f t="shared" ref="N182:N188" si="41">(N181+K182)-(L182+M182)</f>
        <v>4053055.5555555522</v>
      </c>
    </row>
    <row r="183" spans="2:14" ht="18" x14ac:dyDescent="0.25">
      <c r="B183" s="810"/>
      <c r="C183" s="393">
        <v>46203</v>
      </c>
      <c r="D183" s="393">
        <v>46203</v>
      </c>
      <c r="E183" s="394">
        <f>+E182-L183</f>
        <v>352000000</v>
      </c>
      <c r="F183" s="395">
        <v>0.02</v>
      </c>
      <c r="G183" s="397">
        <f t="shared" si="38"/>
        <v>1</v>
      </c>
      <c r="H183" s="396">
        <v>360</v>
      </c>
      <c r="I183" s="394">
        <v>36000000</v>
      </c>
      <c r="J183" s="398">
        <f t="shared" si="37"/>
        <v>19555.555555555555</v>
      </c>
      <c r="K183" s="398">
        <f t="shared" si="39"/>
        <v>36019555.555555552</v>
      </c>
      <c r="L183" s="398">
        <v>36000000</v>
      </c>
      <c r="M183" s="398"/>
      <c r="N183" s="398">
        <f>(N182+K183)-(L183+M183)</f>
        <v>4072611.1111111045</v>
      </c>
    </row>
    <row r="184" spans="2:14" ht="18" x14ac:dyDescent="0.25">
      <c r="B184" s="811">
        <v>7</v>
      </c>
      <c r="C184" s="612">
        <v>46204</v>
      </c>
      <c r="D184" s="612">
        <v>46294</v>
      </c>
      <c r="E184" s="435">
        <f t="shared" ref="E184:E188" si="42">+E183-L184</f>
        <v>352000000</v>
      </c>
      <c r="F184" s="441">
        <v>0.02</v>
      </c>
      <c r="G184" s="443">
        <f t="shared" si="38"/>
        <v>91</v>
      </c>
      <c r="H184" s="613">
        <v>360</v>
      </c>
      <c r="I184" s="435"/>
      <c r="J184" s="614">
        <f t="shared" si="37"/>
        <v>1779555.5555555555</v>
      </c>
      <c r="K184" s="614">
        <f t="shared" si="39"/>
        <v>1779555.5555555555</v>
      </c>
      <c r="L184" s="614"/>
      <c r="M184" s="614"/>
      <c r="N184" s="614">
        <f t="shared" si="41"/>
        <v>5852166.6666666605</v>
      </c>
    </row>
    <row r="185" spans="2:14" ht="18" x14ac:dyDescent="0.25">
      <c r="B185" s="661">
        <v>10</v>
      </c>
      <c r="C185" s="393">
        <v>46295</v>
      </c>
      <c r="D185" s="393">
        <v>46295</v>
      </c>
      <c r="E185" s="394">
        <f>+E184-L185</f>
        <v>327000000</v>
      </c>
      <c r="F185" s="395">
        <v>0.02</v>
      </c>
      <c r="G185" s="397">
        <f t="shared" si="38"/>
        <v>1</v>
      </c>
      <c r="H185" s="396">
        <v>360</v>
      </c>
      <c r="I185" s="394">
        <v>25000000</v>
      </c>
      <c r="J185" s="398">
        <f t="shared" si="37"/>
        <v>18166.666666666668</v>
      </c>
      <c r="K185" s="398">
        <f t="shared" si="39"/>
        <v>25018166.666666668</v>
      </c>
      <c r="L185" s="398">
        <v>25000000</v>
      </c>
      <c r="M185" s="398"/>
      <c r="N185" s="398">
        <f>(N184+K185)-(L185+M185)</f>
        <v>5870333.3333333284</v>
      </c>
    </row>
    <row r="186" spans="2:14" ht="18" x14ac:dyDescent="0.25">
      <c r="B186" s="811">
        <v>11</v>
      </c>
      <c r="C186" s="612">
        <v>46296</v>
      </c>
      <c r="D186" s="612">
        <v>46355</v>
      </c>
      <c r="E186" s="435">
        <f t="shared" si="42"/>
        <v>327000000</v>
      </c>
      <c r="F186" s="441">
        <v>0.02</v>
      </c>
      <c r="G186" s="443">
        <f t="shared" si="38"/>
        <v>60</v>
      </c>
      <c r="H186" s="613">
        <v>360</v>
      </c>
      <c r="I186" s="435"/>
      <c r="J186" s="614">
        <f t="shared" si="37"/>
        <v>1090000</v>
      </c>
      <c r="K186" s="614">
        <f t="shared" si="39"/>
        <v>1090000</v>
      </c>
      <c r="L186" s="614"/>
      <c r="M186" s="614"/>
      <c r="N186" s="614">
        <f t="shared" si="41"/>
        <v>6960333.3333333284</v>
      </c>
    </row>
    <row r="187" spans="2:14" ht="18" x14ac:dyDescent="0.25">
      <c r="B187" s="661">
        <v>13</v>
      </c>
      <c r="C187" s="393">
        <v>46356</v>
      </c>
      <c r="D187" s="393">
        <v>46356</v>
      </c>
      <c r="E187" s="394">
        <f>+E186-L187</f>
        <v>317000000</v>
      </c>
      <c r="F187" s="395">
        <v>0.02</v>
      </c>
      <c r="G187" s="397">
        <f t="shared" si="38"/>
        <v>1</v>
      </c>
      <c r="H187" s="396">
        <v>360</v>
      </c>
      <c r="I187" s="394">
        <v>10000000</v>
      </c>
      <c r="J187" s="398">
        <f t="shared" si="37"/>
        <v>17611.111111111109</v>
      </c>
      <c r="K187" s="398">
        <f>I187+J187</f>
        <v>10017611.111111112</v>
      </c>
      <c r="L187" s="398">
        <v>10000000</v>
      </c>
      <c r="M187" s="398"/>
      <c r="N187" s="398">
        <f>(N186+K187)-(L187+M187)</f>
        <v>6977944.4444444403</v>
      </c>
    </row>
    <row r="188" spans="2:14" ht="18" x14ac:dyDescent="0.25">
      <c r="B188" s="811">
        <v>14</v>
      </c>
      <c r="C188" s="612">
        <v>46357</v>
      </c>
      <c r="D188" s="612">
        <v>46387</v>
      </c>
      <c r="E188" s="435">
        <f t="shared" si="42"/>
        <v>317000000</v>
      </c>
      <c r="F188" s="441">
        <v>0.02</v>
      </c>
      <c r="G188" s="443">
        <f t="shared" si="38"/>
        <v>31</v>
      </c>
      <c r="H188" s="613">
        <v>360</v>
      </c>
      <c r="I188" s="435"/>
      <c r="J188" s="614">
        <f t="shared" si="37"/>
        <v>545944.4444444445</v>
      </c>
      <c r="K188" s="614">
        <f>I188+J188</f>
        <v>545944.4444444445</v>
      </c>
      <c r="L188" s="614"/>
      <c r="M188" s="614"/>
      <c r="N188" s="614">
        <f t="shared" si="41"/>
        <v>7523888.8888888843</v>
      </c>
    </row>
    <row r="189" spans="2:14" ht="18" x14ac:dyDescent="0.25">
      <c r="B189" s="448"/>
      <c r="C189" s="399"/>
      <c r="D189" s="399"/>
      <c r="E189" s="400" t="s">
        <v>30</v>
      </c>
      <c r="F189" s="401" t="s">
        <v>30</v>
      </c>
      <c r="G189" s="402">
        <f>SUM(G180:G188)</f>
        <v>365</v>
      </c>
      <c r="H189" s="402"/>
      <c r="I189" s="403">
        <f>SUM(I180:I188)</f>
        <v>106000000</v>
      </c>
      <c r="J189" s="400">
        <f>SUM(J180:J188)</f>
        <v>7523888.8888888881</v>
      </c>
      <c r="K189" s="400">
        <f>SUM(K180:K188)</f>
        <v>113523888.8888889</v>
      </c>
      <c r="L189" s="400">
        <f>SUM(L180:L183)</f>
        <v>71000000</v>
      </c>
      <c r="M189" s="400">
        <f>SUM(M180:M188)</f>
        <v>0</v>
      </c>
      <c r="N189" s="400">
        <f>+N188</f>
        <v>7523888.8888888843</v>
      </c>
    </row>
  </sheetData>
  <mergeCells count="125">
    <mergeCell ref="O23:P23"/>
    <mergeCell ref="M18:M19"/>
    <mergeCell ref="M3:N7"/>
    <mergeCell ref="N152:N153"/>
    <mergeCell ref="B156:B157"/>
    <mergeCell ref="B160:B162"/>
    <mergeCell ref="B152:B153"/>
    <mergeCell ref="C152:D153"/>
    <mergeCell ref="E152:E153"/>
    <mergeCell ref="F152:F153"/>
    <mergeCell ref="G152:G153"/>
    <mergeCell ref="H152:H153"/>
    <mergeCell ref="I152:K152"/>
    <mergeCell ref="L152:L153"/>
    <mergeCell ref="M152:M153"/>
    <mergeCell ref="M75:M76"/>
    <mergeCell ref="O75:O76"/>
    <mergeCell ref="B52:B53"/>
    <mergeCell ref="C121:D121"/>
    <mergeCell ref="B42:B43"/>
    <mergeCell ref="N42:N43"/>
    <mergeCell ref="M42:M43"/>
    <mergeCell ref="L42:L43"/>
    <mergeCell ref="I42:K42"/>
    <mergeCell ref="B50:B51"/>
    <mergeCell ref="B55:B56"/>
    <mergeCell ref="B73:N73"/>
    <mergeCell ref="B75:B76"/>
    <mergeCell ref="C75:D76"/>
    <mergeCell ref="E75:E76"/>
    <mergeCell ref="F75:F76"/>
    <mergeCell ref="G75:G76"/>
    <mergeCell ref="B104:D104"/>
    <mergeCell ref="B79:B81"/>
    <mergeCell ref="L75:L76"/>
    <mergeCell ref="B94:B96"/>
    <mergeCell ref="B97:B101"/>
    <mergeCell ref="B102:B103"/>
    <mergeCell ref="B86:B87"/>
    <mergeCell ref="B88:B89"/>
    <mergeCell ref="B90:B93"/>
    <mergeCell ref="B69:B70"/>
    <mergeCell ref="N75:N76"/>
    <mergeCell ref="N18:N19"/>
    <mergeCell ref="B22:B23"/>
    <mergeCell ref="G121:H121"/>
    <mergeCell ref="G116:H116"/>
    <mergeCell ref="C42:D43"/>
    <mergeCell ref="E42:E43"/>
    <mergeCell ref="F42:F43"/>
    <mergeCell ref="G42:G43"/>
    <mergeCell ref="H42:H43"/>
    <mergeCell ref="B61:B63"/>
    <mergeCell ref="B64:B68"/>
    <mergeCell ref="B71:D71"/>
    <mergeCell ref="B107:L107"/>
    <mergeCell ref="B108:L108"/>
    <mergeCell ref="G112:H112"/>
    <mergeCell ref="G113:H113"/>
    <mergeCell ref="B26:B28"/>
    <mergeCell ref="B40:N40"/>
    <mergeCell ref="B57:B60"/>
    <mergeCell ref="B83:B84"/>
    <mergeCell ref="H75:H76"/>
    <mergeCell ref="I75:K75"/>
    <mergeCell ref="L18:L19"/>
    <mergeCell ref="C120:D120"/>
    <mergeCell ref="B46:B48"/>
    <mergeCell ref="B1:J1"/>
    <mergeCell ref="C2:D2"/>
    <mergeCell ref="B18:B19"/>
    <mergeCell ref="C18:D19"/>
    <mergeCell ref="E18:E19"/>
    <mergeCell ref="F18:F19"/>
    <mergeCell ref="G18:G19"/>
    <mergeCell ref="H18:H19"/>
    <mergeCell ref="I18:K18"/>
    <mergeCell ref="B15:D15"/>
    <mergeCell ref="B32:B33"/>
    <mergeCell ref="B34:B35"/>
    <mergeCell ref="B124:L124"/>
    <mergeCell ref="G123:H123"/>
    <mergeCell ref="B123:D123"/>
    <mergeCell ref="C110:D110"/>
    <mergeCell ref="C111:D111"/>
    <mergeCell ref="C112:D112"/>
    <mergeCell ref="C113:D113"/>
    <mergeCell ref="G110:H110"/>
    <mergeCell ref="G111:H111"/>
    <mergeCell ref="C116:D116"/>
    <mergeCell ref="C115:D115"/>
    <mergeCell ref="G115:H115"/>
    <mergeCell ref="C114:D114"/>
    <mergeCell ref="G114:H114"/>
    <mergeCell ref="G122:H122"/>
    <mergeCell ref="C117:D117"/>
    <mergeCell ref="C122:D122"/>
    <mergeCell ref="G120:H120"/>
    <mergeCell ref="G117:H117"/>
    <mergeCell ref="C119:D119"/>
    <mergeCell ref="G119:H119"/>
    <mergeCell ref="C118:D118"/>
    <mergeCell ref="G118:H118"/>
    <mergeCell ref="N128:N129"/>
    <mergeCell ref="B132:B133"/>
    <mergeCell ref="B136:B138"/>
    <mergeCell ref="B128:B129"/>
    <mergeCell ref="C128:D129"/>
    <mergeCell ref="E128:E129"/>
    <mergeCell ref="F128:F129"/>
    <mergeCell ref="G128:G129"/>
    <mergeCell ref="H128:H129"/>
    <mergeCell ref="I128:K128"/>
    <mergeCell ref="L128:L129"/>
    <mergeCell ref="M128:M129"/>
    <mergeCell ref="N178:N179"/>
    <mergeCell ref="B178:B179"/>
    <mergeCell ref="C178:D179"/>
    <mergeCell ref="E178:E179"/>
    <mergeCell ref="F178:F179"/>
    <mergeCell ref="G178:G179"/>
    <mergeCell ref="H178:H179"/>
    <mergeCell ref="I178:K178"/>
    <mergeCell ref="L178:L179"/>
    <mergeCell ref="M178:M179"/>
  </mergeCells>
  <phoneticPr fontId="41" type="noConversion"/>
  <pageMargins left="0.15748031496062992" right="0.15748031496062992" top="1.0629921259842521" bottom="0.59055118110236227" header="0.19685039370078741" footer="0.19685039370078741"/>
  <pageSetup paperSize="9" scale="69" orientation="landscape" r:id="rId1"/>
  <rowBreaks count="2" manualBreakCount="2">
    <brk id="39" max="13" man="1"/>
    <brk id="106" max="1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17">
    <tabColor rgb="FF7030A0"/>
  </sheetPr>
  <dimension ref="A1:R9"/>
  <sheetViews>
    <sheetView zoomScale="90" zoomScaleNormal="90" zoomScaleSheetLayoutView="85" zoomScalePageLayoutView="60" workbookViewId="0">
      <selection activeCell="L18" sqref="L18"/>
    </sheetView>
  </sheetViews>
  <sheetFormatPr defaultRowHeight="14.25" x14ac:dyDescent="0.2"/>
  <cols>
    <col min="1" max="1" width="4" style="557" customWidth="1"/>
    <col min="2" max="2" width="41.7109375" style="3" customWidth="1"/>
    <col min="3" max="3" width="21.42578125" style="557" customWidth="1"/>
    <col min="4" max="4" width="22.42578125" style="557" customWidth="1"/>
    <col min="5" max="5" width="12.28515625" style="557" customWidth="1"/>
    <col min="6" max="6" width="11.85546875" style="557" customWidth="1"/>
    <col min="7" max="7" width="10.5703125" style="557" customWidth="1"/>
    <col min="8" max="8" width="14.85546875" style="557" customWidth="1"/>
    <col min="9" max="9" width="23.28515625" style="557" customWidth="1"/>
    <col min="10" max="10" width="24" style="557" customWidth="1"/>
    <col min="11" max="11" width="20" style="557" customWidth="1"/>
    <col min="12" max="12" width="20.28515625" style="557" customWidth="1"/>
    <col min="13" max="13" width="22.7109375" style="557" customWidth="1"/>
    <col min="14" max="14" width="23.7109375" style="557" hidden="1" customWidth="1"/>
    <col min="15" max="15" width="15.7109375" style="557" customWidth="1"/>
    <col min="16" max="16" width="14.140625" style="557" customWidth="1"/>
    <col min="17" max="17" width="13.42578125" style="557" customWidth="1"/>
    <col min="18" max="18" width="15.7109375" style="557" customWidth="1"/>
    <col min="19" max="16384" width="9.140625" style="557"/>
  </cols>
  <sheetData>
    <row r="1" spans="1:18" s="122" customFormat="1" ht="33" customHeight="1" x14ac:dyDescent="0.25">
      <c r="A1" s="1143" t="s">
        <v>207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  <c r="M1" s="1143"/>
      <c r="N1" s="1143"/>
    </row>
    <row r="2" spans="1:18" ht="21.75" customHeight="1" thickBot="1" x14ac:dyDescent="0.25">
      <c r="A2" s="1144" t="s">
        <v>91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  <c r="M2" s="1144"/>
      <c r="N2" s="1144"/>
    </row>
    <row r="3" spans="1:18" s="409" customFormat="1" ht="51" customHeight="1" thickBot="1" x14ac:dyDescent="0.3">
      <c r="A3" s="588" t="s">
        <v>15</v>
      </c>
      <c r="B3" s="580" t="s">
        <v>0</v>
      </c>
      <c r="C3" s="581" t="s">
        <v>1</v>
      </c>
      <c r="D3" s="581" t="s">
        <v>2</v>
      </c>
      <c r="E3" s="581" t="s">
        <v>3</v>
      </c>
      <c r="F3" s="581" t="s">
        <v>4</v>
      </c>
      <c r="G3" s="1199" t="s">
        <v>18</v>
      </c>
      <c r="H3" s="1200"/>
      <c r="I3" s="581" t="s">
        <v>199</v>
      </c>
      <c r="J3" s="581" t="s">
        <v>203</v>
      </c>
      <c r="K3" s="581" t="s">
        <v>99</v>
      </c>
      <c r="L3" s="581" t="s">
        <v>147</v>
      </c>
      <c r="M3" s="600" t="s">
        <v>188</v>
      </c>
      <c r="N3" s="579" t="s">
        <v>204</v>
      </c>
    </row>
    <row r="4" spans="1:18" ht="51.75" customHeight="1" x14ac:dyDescent="0.2">
      <c r="A4" s="534">
        <v>1</v>
      </c>
      <c r="B4" s="535" t="s">
        <v>5</v>
      </c>
      <c r="C4" s="536" t="s">
        <v>127</v>
      </c>
      <c r="D4" s="537">
        <f>500000000/1000</f>
        <v>500000</v>
      </c>
      <c r="E4" s="536">
        <v>2012</v>
      </c>
      <c r="F4" s="536" t="s">
        <v>129</v>
      </c>
      <c r="G4" s="1160" t="s">
        <v>7</v>
      </c>
      <c r="H4" s="1161"/>
      <c r="I4" s="538">
        <v>477027.92060000001</v>
      </c>
      <c r="J4" s="538">
        <v>426905.02931575099</v>
      </c>
      <c r="K4" s="594">
        <v>1000</v>
      </c>
      <c r="L4" s="539">
        <v>0</v>
      </c>
      <c r="M4" s="538">
        <f>+I4-K4</f>
        <v>476027.92060000001</v>
      </c>
      <c r="N4" s="593">
        <v>444837.22654923698</v>
      </c>
    </row>
    <row r="5" spans="1:18" ht="47.25" customHeight="1" x14ac:dyDescent="0.2">
      <c r="A5" s="235">
        <v>2</v>
      </c>
      <c r="B5" s="236" t="s">
        <v>125</v>
      </c>
      <c r="C5" s="237" t="s">
        <v>137</v>
      </c>
      <c r="D5" s="129">
        <v>2250000</v>
      </c>
      <c r="E5" s="237">
        <v>2016</v>
      </c>
      <c r="F5" s="237" t="s">
        <v>130</v>
      </c>
      <c r="G5" s="1156">
        <v>0.02</v>
      </c>
      <c r="H5" s="1157"/>
      <c r="I5" s="413">
        <v>2012961.9251400002</v>
      </c>
      <c r="J5" s="574">
        <v>148255.9123541</v>
      </c>
      <c r="K5" s="561">
        <f>23953.06053+112739.067</f>
        <v>136692.12753</v>
      </c>
      <c r="L5" s="416">
        <v>7663.6935199999998</v>
      </c>
      <c r="M5" s="416">
        <f t="shared" ref="M5:N8" si="0">+I5-K5</f>
        <v>1876269.7976100002</v>
      </c>
      <c r="N5" s="592">
        <v>115769.02465833101</v>
      </c>
      <c r="O5" s="153">
        <f>+K5-P5</f>
        <v>0</v>
      </c>
      <c r="P5" s="561">
        <v>136692.12753</v>
      </c>
      <c r="Q5" s="561">
        <v>23953.060529999999</v>
      </c>
    </row>
    <row r="6" spans="1:18" ht="38.25" customHeight="1" x14ac:dyDescent="0.2">
      <c r="A6" s="235">
        <v>3</v>
      </c>
      <c r="B6" s="236" t="s">
        <v>126</v>
      </c>
      <c r="C6" s="237" t="s">
        <v>137</v>
      </c>
      <c r="D6" s="129">
        <v>1070000</v>
      </c>
      <c r="E6" s="237">
        <v>2016</v>
      </c>
      <c r="F6" s="237" t="s">
        <v>130</v>
      </c>
      <c r="G6" s="1156">
        <v>0.02</v>
      </c>
      <c r="H6" s="1157"/>
      <c r="I6" s="413">
        <v>822540.31874999998</v>
      </c>
      <c r="J6" s="574">
        <v>115775.78858875899</v>
      </c>
      <c r="K6" s="561">
        <f>16825.36452</f>
        <v>16825.364519999999</v>
      </c>
      <c r="L6" s="416">
        <v>7663.6935199999998</v>
      </c>
      <c r="M6" s="416">
        <f t="shared" si="0"/>
        <v>805714.95423000003</v>
      </c>
      <c r="N6" s="592">
        <v>115681.311171564</v>
      </c>
      <c r="O6" s="153">
        <f>+K6-P6</f>
        <v>0</v>
      </c>
      <c r="P6" s="561">
        <v>16825.364519999999</v>
      </c>
    </row>
    <row r="7" spans="1:18" ht="36" customHeight="1" x14ac:dyDescent="0.2">
      <c r="A7" s="235">
        <v>4</v>
      </c>
      <c r="B7" s="236" t="s">
        <v>19</v>
      </c>
      <c r="C7" s="237" t="s">
        <v>138</v>
      </c>
      <c r="D7" s="129">
        <f>200000000/1000</f>
        <v>200000</v>
      </c>
      <c r="E7" s="237">
        <v>2012</v>
      </c>
      <c r="F7" s="237" t="s">
        <v>131</v>
      </c>
      <c r="G7" s="1162" t="s">
        <v>12</v>
      </c>
      <c r="H7" s="1163"/>
      <c r="I7" s="355">
        <v>200000</v>
      </c>
      <c r="J7" s="323">
        <v>0</v>
      </c>
      <c r="K7" s="323">
        <v>0</v>
      </c>
      <c r="L7" s="323">
        <v>0</v>
      </c>
      <c r="M7" s="413">
        <f t="shared" si="0"/>
        <v>200000</v>
      </c>
      <c r="N7" s="357">
        <f t="shared" si="0"/>
        <v>0</v>
      </c>
    </row>
    <row r="8" spans="1:18" ht="51.75" customHeight="1" x14ac:dyDescent="0.2">
      <c r="A8" s="235">
        <v>6</v>
      </c>
      <c r="B8" s="239" t="s">
        <v>170</v>
      </c>
      <c r="C8" s="240" t="s">
        <v>14</v>
      </c>
      <c r="D8" s="130">
        <v>1165000</v>
      </c>
      <c r="E8" s="131">
        <v>2019</v>
      </c>
      <c r="F8" s="131" t="s">
        <v>96</v>
      </c>
      <c r="G8" s="1156">
        <v>0.02</v>
      </c>
      <c r="H8" s="1157"/>
      <c r="I8" s="414">
        <v>741000</v>
      </c>
      <c r="J8" s="413">
        <v>168.42972</v>
      </c>
      <c r="K8" s="597">
        <f>35000+36000</f>
        <v>71000</v>
      </c>
      <c r="L8" s="413">
        <v>168.42972</v>
      </c>
      <c r="M8" s="413">
        <f t="shared" si="0"/>
        <v>670000</v>
      </c>
      <c r="N8" s="357">
        <f t="shared" si="0"/>
        <v>0</v>
      </c>
    </row>
    <row r="9" spans="1:18" s="409" customFormat="1" ht="30" customHeight="1" thickBot="1" x14ac:dyDescent="0.3">
      <c r="A9" s="1190" t="s">
        <v>23</v>
      </c>
      <c r="B9" s="1191"/>
      <c r="C9" s="1191"/>
      <c r="D9" s="541">
        <f>+SUM(D4:D8)</f>
        <v>5185000</v>
      </c>
      <c r="E9" s="545"/>
      <c r="F9" s="546"/>
      <c r="G9" s="546"/>
      <c r="H9" s="547"/>
      <c r="I9" s="541">
        <f t="shared" ref="I9:N9" si="1">+SUM(I4:I8)</f>
        <v>4253530.1644900003</v>
      </c>
      <c r="J9" s="541">
        <f t="shared" si="1"/>
        <v>691105.15997861</v>
      </c>
      <c r="K9" s="541">
        <f t="shared" si="1"/>
        <v>225517.49205</v>
      </c>
      <c r="L9" s="541">
        <f t="shared" si="1"/>
        <v>15495.81676</v>
      </c>
      <c r="M9" s="541">
        <f t="shared" si="1"/>
        <v>4028012.6724399999</v>
      </c>
      <c r="N9" s="590">
        <f t="shared" si="1"/>
        <v>676287.56237913202</v>
      </c>
      <c r="O9" s="592">
        <v>4021292.69</v>
      </c>
      <c r="P9" s="598">
        <f>+M9-O9</f>
        <v>6719.9824399999343</v>
      </c>
      <c r="Q9" s="599">
        <v>6750</v>
      </c>
      <c r="R9" s="598">
        <f>+M9-Q9</f>
        <v>4021262.6724399999</v>
      </c>
    </row>
  </sheetData>
  <mergeCells count="9">
    <mergeCell ref="G7:H7"/>
    <mergeCell ref="G8:H8"/>
    <mergeCell ref="A9:C9"/>
    <mergeCell ref="A1:N1"/>
    <mergeCell ref="A2:N2"/>
    <mergeCell ref="G3:H3"/>
    <mergeCell ref="G4:H4"/>
    <mergeCell ref="G5:H5"/>
    <mergeCell ref="G6:H6"/>
  </mergeCells>
  <pageMargins left="0.23622047244094491" right="0.15748031496062992" top="0.74803149606299213" bottom="0.19685039370078741" header="0.19685039370078741" footer="0.19685039370078741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7030A0"/>
  </sheetPr>
  <dimension ref="A1:L34"/>
  <sheetViews>
    <sheetView zoomScaleNormal="100" zoomScaleSheetLayoutView="85" zoomScalePageLayoutView="60" workbookViewId="0">
      <selection activeCell="L7" sqref="L7"/>
    </sheetView>
  </sheetViews>
  <sheetFormatPr defaultRowHeight="18" x14ac:dyDescent="0.25"/>
  <cols>
    <col min="1" max="1" width="6.140625" style="2" customWidth="1"/>
    <col min="2" max="2" width="42.140625" style="3" customWidth="1"/>
    <col min="3" max="3" width="21.85546875" style="2" customWidth="1"/>
    <col min="4" max="4" width="22.140625" style="2" customWidth="1"/>
    <col min="5" max="5" width="12.28515625" style="2" customWidth="1"/>
    <col min="6" max="6" width="14" style="2" customWidth="1"/>
    <col min="7" max="7" width="20" style="2" customWidth="1"/>
    <col min="8" max="8" width="23.28515625" style="2" customWidth="1"/>
    <col min="9" max="9" width="21.42578125" style="2" customWidth="1"/>
    <col min="10" max="10" width="20" style="2" customWidth="1"/>
    <col min="11" max="11" width="22.5703125" style="2" customWidth="1"/>
    <col min="12" max="12" width="23" style="19" customWidth="1"/>
    <col min="13" max="13" width="26.85546875" style="2" customWidth="1"/>
    <col min="14" max="16384" width="9.140625" style="2"/>
  </cols>
  <sheetData>
    <row r="1" spans="1:12" s="122" customFormat="1" ht="64.5" customHeight="1" x14ac:dyDescent="0.25">
      <c r="A1" s="1143" t="s">
        <v>136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386"/>
    </row>
    <row r="2" spans="1:12" ht="21.75" customHeight="1" x14ac:dyDescent="0.25">
      <c r="A2" s="1144" t="s">
        <v>91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</row>
    <row r="3" spans="1:12" s="409" customFormat="1" ht="51" customHeight="1" x14ac:dyDescent="0.25">
      <c r="A3" s="408" t="s">
        <v>15</v>
      </c>
      <c r="B3" s="408" t="s">
        <v>0</v>
      </c>
      <c r="C3" s="408" t="s">
        <v>1</v>
      </c>
      <c r="D3" s="408" t="s">
        <v>2</v>
      </c>
      <c r="E3" s="408" t="s">
        <v>3</v>
      </c>
      <c r="F3" s="408" t="s">
        <v>4</v>
      </c>
      <c r="G3" s="408" t="s">
        <v>18</v>
      </c>
      <c r="H3" s="408" t="s">
        <v>133</v>
      </c>
      <c r="I3" s="408" t="s">
        <v>98</v>
      </c>
      <c r="J3" s="408" t="s">
        <v>134</v>
      </c>
      <c r="K3" s="408" t="s">
        <v>135</v>
      </c>
    </row>
    <row r="4" spans="1:12" ht="51.75" customHeight="1" x14ac:dyDescent="0.25">
      <c r="A4" s="235">
        <v>1</v>
      </c>
      <c r="B4" s="236" t="s">
        <v>5</v>
      </c>
      <c r="C4" s="237" t="s">
        <v>127</v>
      </c>
      <c r="D4" s="129">
        <f>500000000/1000</f>
        <v>500000</v>
      </c>
      <c r="E4" s="237">
        <v>2012</v>
      </c>
      <c r="F4" s="237" t="s">
        <v>129</v>
      </c>
      <c r="G4" s="237" t="s">
        <v>7</v>
      </c>
      <c r="H4" s="354">
        <v>477351.42060000001</v>
      </c>
      <c r="I4" s="358">
        <v>323.5</v>
      </c>
      <c r="J4" s="323">
        <v>0</v>
      </c>
      <c r="K4" s="357">
        <f t="shared" ref="K4:K10" si="0">+H4-I4</f>
        <v>477027.92060000001</v>
      </c>
      <c r="L4" s="409"/>
    </row>
    <row r="5" spans="1:12" ht="45" customHeight="1" x14ac:dyDescent="0.25">
      <c r="A5" s="235">
        <v>2</v>
      </c>
      <c r="B5" s="236" t="s">
        <v>125</v>
      </c>
      <c r="C5" s="237" t="s">
        <v>137</v>
      </c>
      <c r="D5" s="129">
        <v>2250000</v>
      </c>
      <c r="E5" s="237">
        <v>2016</v>
      </c>
      <c r="F5" s="237" t="s">
        <v>130</v>
      </c>
      <c r="G5" s="372">
        <v>0.02</v>
      </c>
      <c r="H5" s="354">
        <v>2118346.2953900001</v>
      </c>
      <c r="I5" s="358">
        <v>105384.37025000001</v>
      </c>
      <c r="J5" s="359">
        <f>8694.99344+8747.68582</f>
        <v>17442.679260000001</v>
      </c>
      <c r="K5" s="357">
        <f t="shared" si="0"/>
        <v>2012961.9251400002</v>
      </c>
      <c r="L5" s="409"/>
    </row>
    <row r="6" spans="1:12" ht="45" customHeight="1" x14ac:dyDescent="0.25">
      <c r="A6" s="235">
        <v>3</v>
      </c>
      <c r="B6" s="236" t="s">
        <v>126</v>
      </c>
      <c r="C6" s="237" t="s">
        <v>137</v>
      </c>
      <c r="D6" s="129">
        <v>1070000</v>
      </c>
      <c r="E6" s="237">
        <v>2016</v>
      </c>
      <c r="F6" s="237" t="s">
        <v>130</v>
      </c>
      <c r="G6" s="372">
        <v>0.02</v>
      </c>
      <c r="H6" s="354">
        <v>931301.98450000002</v>
      </c>
      <c r="I6" s="358">
        <v>108761.66575</v>
      </c>
      <c r="J6" s="359">
        <f>8694.99343+8747.68582</f>
        <v>17442.679250000001</v>
      </c>
      <c r="K6" s="357">
        <f t="shared" si="0"/>
        <v>822540.31874999998</v>
      </c>
      <c r="L6" s="409"/>
    </row>
    <row r="7" spans="1:12" ht="50.25" customHeight="1" x14ac:dyDescent="0.2">
      <c r="A7" s="235">
        <v>4</v>
      </c>
      <c r="B7" s="236" t="s">
        <v>19</v>
      </c>
      <c r="C7" s="237" t="s">
        <v>138</v>
      </c>
      <c r="D7" s="129">
        <f>200000000/1000</f>
        <v>200000</v>
      </c>
      <c r="E7" s="237">
        <v>2012</v>
      </c>
      <c r="F7" s="237" t="s">
        <v>131</v>
      </c>
      <c r="G7" s="238" t="s">
        <v>12</v>
      </c>
      <c r="H7" s="355">
        <v>200000</v>
      </c>
      <c r="I7" s="323">
        <v>0</v>
      </c>
      <c r="J7" s="323">
        <v>0</v>
      </c>
      <c r="K7" s="357">
        <f t="shared" si="0"/>
        <v>200000</v>
      </c>
      <c r="L7" s="713">
        <f>+K4+K5+K6+K7</f>
        <v>3512530.1644900003</v>
      </c>
    </row>
    <row r="8" spans="1:12" ht="47.25" customHeight="1" x14ac:dyDescent="0.25">
      <c r="A8" s="235">
        <v>5</v>
      </c>
      <c r="B8" s="239" t="s">
        <v>141</v>
      </c>
      <c r="C8" s="237" t="s">
        <v>139</v>
      </c>
      <c r="D8" s="130">
        <v>10000</v>
      </c>
      <c r="E8" s="131">
        <v>2009</v>
      </c>
      <c r="F8" s="132" t="s">
        <v>132</v>
      </c>
      <c r="G8" s="240" t="s">
        <v>86</v>
      </c>
      <c r="H8" s="356">
        <v>10000</v>
      </c>
      <c r="I8" s="358">
        <v>2011.153</v>
      </c>
      <c r="J8" s="323">
        <v>0</v>
      </c>
      <c r="K8" s="371">
        <v>0</v>
      </c>
      <c r="L8" s="409"/>
    </row>
    <row r="9" spans="1:12" ht="34.5" customHeight="1" x14ac:dyDescent="0.25">
      <c r="A9" s="235">
        <v>6</v>
      </c>
      <c r="B9" s="239" t="s">
        <v>9</v>
      </c>
      <c r="C9" s="240" t="s">
        <v>140</v>
      </c>
      <c r="D9" s="130">
        <v>300000</v>
      </c>
      <c r="E9" s="131">
        <v>2009</v>
      </c>
      <c r="F9" s="131" t="s">
        <v>11</v>
      </c>
      <c r="G9" s="241" t="s">
        <v>87</v>
      </c>
      <c r="H9" s="356">
        <v>99750.374689999997</v>
      </c>
      <c r="I9" s="358">
        <v>399001.49906</v>
      </c>
      <c r="J9" s="359">
        <v>998.50094000000001</v>
      </c>
      <c r="K9" s="357">
        <v>49873.93</v>
      </c>
      <c r="L9" s="409"/>
    </row>
    <row r="10" spans="1:12" ht="51.75" customHeight="1" x14ac:dyDescent="0.25">
      <c r="A10" s="235">
        <v>7</v>
      </c>
      <c r="B10" s="239" t="s">
        <v>128</v>
      </c>
      <c r="C10" s="240" t="s">
        <v>14</v>
      </c>
      <c r="D10" s="130">
        <v>1165000</v>
      </c>
      <c r="E10" s="131">
        <v>2019</v>
      </c>
      <c r="F10" s="131" t="s">
        <v>96</v>
      </c>
      <c r="G10" s="372">
        <v>0.02</v>
      </c>
      <c r="H10" s="356">
        <v>847000</v>
      </c>
      <c r="I10" s="358">
        <f>35000+41141.527+12000+7858.473+2000*5</f>
        <v>106000</v>
      </c>
      <c r="J10" s="359">
        <f>11293.332+4458.14279</f>
        <v>15751.47479</v>
      </c>
      <c r="K10" s="357">
        <f t="shared" si="0"/>
        <v>741000</v>
      </c>
      <c r="L10" s="409"/>
    </row>
    <row r="11" spans="1:12" s="409" customFormat="1" ht="30" customHeight="1" x14ac:dyDescent="0.25">
      <c r="A11" s="1145" t="s">
        <v>23</v>
      </c>
      <c r="B11" s="1146"/>
      <c r="C11" s="1146"/>
      <c r="D11" s="1146"/>
      <c r="E11" s="1146"/>
      <c r="F11" s="1146"/>
      <c r="G11" s="1147"/>
      <c r="H11" s="410">
        <f>SUM(H4:H10)</f>
        <v>4683750.0751799997</v>
      </c>
      <c r="I11" s="411">
        <f>SUM(I4:I10)</f>
        <v>721482.18806000007</v>
      </c>
      <c r="J11" s="411">
        <f>SUM(J4:J10)</f>
        <v>51635.334240000004</v>
      </c>
      <c r="K11" s="410">
        <f>SUM(K4:K10)</f>
        <v>4303404.094490001</v>
      </c>
    </row>
    <row r="12" spans="1:12" ht="78.75" customHeight="1" x14ac:dyDescent="0.25">
      <c r="A12" s="235">
        <v>8</v>
      </c>
      <c r="B12" s="239" t="s">
        <v>124</v>
      </c>
      <c r="C12" s="240" t="s">
        <v>123</v>
      </c>
      <c r="D12" s="130">
        <v>32561</v>
      </c>
      <c r="E12" s="131">
        <v>2018</v>
      </c>
      <c r="F12" s="131">
        <v>2023</v>
      </c>
      <c r="G12" s="238" t="s">
        <v>12</v>
      </c>
      <c r="H12" s="323">
        <v>0</v>
      </c>
      <c r="I12" s="358">
        <v>32561</v>
      </c>
      <c r="J12" s="323">
        <v>0</v>
      </c>
      <c r="K12" s="371">
        <v>0</v>
      </c>
    </row>
    <row r="13" spans="1:12" s="409" customFormat="1" ht="48" customHeight="1" x14ac:dyDescent="0.25">
      <c r="A13" s="1145" t="s">
        <v>146</v>
      </c>
      <c r="B13" s="1146"/>
      <c r="C13" s="1146"/>
      <c r="D13" s="1146"/>
      <c r="E13" s="1146"/>
      <c r="F13" s="1146"/>
      <c r="G13" s="1147"/>
      <c r="H13" s="410">
        <f>+H11+H12</f>
        <v>4683750.0751799997</v>
      </c>
      <c r="I13" s="410">
        <f>+I11+I12</f>
        <v>754043.18806000007</v>
      </c>
      <c r="J13" s="410">
        <f>+J11+J12</f>
        <v>51635.334240000004</v>
      </c>
      <c r="K13" s="410">
        <f>+K11+K12</f>
        <v>4303404.094490001</v>
      </c>
      <c r="L13" s="709">
        <v>4303404.09449</v>
      </c>
    </row>
    <row r="14" spans="1:12" ht="24" customHeight="1" thickBot="1" x14ac:dyDescent="0.3">
      <c r="A14" s="360"/>
      <c r="B14" s="360"/>
      <c r="C14" s="361"/>
      <c r="D14" s="362"/>
      <c r="E14" s="363"/>
      <c r="F14" s="363"/>
      <c r="G14" s="364"/>
      <c r="H14" s="384"/>
      <c r="I14" s="370">
        <v>69.532314819493806</v>
      </c>
      <c r="J14" s="370"/>
      <c r="K14" s="370"/>
    </row>
    <row r="15" spans="1:12" ht="36.75" customHeight="1" thickBot="1" x14ac:dyDescent="0.3">
      <c r="A15" s="366"/>
      <c r="B15" s="1128" t="s">
        <v>88</v>
      </c>
      <c r="C15" s="1129"/>
      <c r="D15" s="1130"/>
      <c r="E15" s="1148">
        <v>130791.5</v>
      </c>
      <c r="F15" s="1149"/>
      <c r="G15" s="366"/>
      <c r="H15" s="1150" t="s">
        <v>118</v>
      </c>
      <c r="I15" s="1151"/>
      <c r="J15" s="367">
        <f>H13-K13</f>
        <v>380345.98068999872</v>
      </c>
      <c r="K15" s="368">
        <f>(J15/H13)*100%</f>
        <v>8.1205438929271165E-2</v>
      </c>
    </row>
    <row r="16" spans="1:12" ht="21" thickBot="1" x14ac:dyDescent="0.3">
      <c r="A16" s="366"/>
      <c r="B16" s="1128" t="s">
        <v>89</v>
      </c>
      <c r="C16" s="1129"/>
      <c r="D16" s="1130"/>
      <c r="E16" s="1131">
        <f>K13/E15/1000</f>
        <v>3.2902781101906475E-2</v>
      </c>
      <c r="F16" s="1132"/>
      <c r="G16" s="366"/>
      <c r="H16" s="1133" t="s">
        <v>90</v>
      </c>
      <c r="I16" s="1134"/>
      <c r="J16" s="1133">
        <f>+I13+J13</f>
        <v>805678.52230000007</v>
      </c>
      <c r="K16" s="1134"/>
    </row>
    <row r="17" spans="1:11" ht="18.75" thickBot="1" x14ac:dyDescent="0.3">
      <c r="A17" s="366"/>
      <c r="B17" s="1137" t="s">
        <v>117</v>
      </c>
      <c r="C17" s="1138"/>
      <c r="D17" s="1139"/>
      <c r="E17" s="1140">
        <f>+K13/G17</f>
        <v>396828.2626667897</v>
      </c>
      <c r="F17" s="1141"/>
      <c r="G17" s="369">
        <v>10.8445</v>
      </c>
      <c r="H17" s="1135"/>
      <c r="I17" s="1136"/>
      <c r="J17" s="1135"/>
      <c r="K17" s="1136"/>
    </row>
    <row r="18" spans="1:11" ht="25.5" customHeight="1" x14ac:dyDescent="0.25">
      <c r="A18" s="366"/>
      <c r="D18" s="123"/>
      <c r="H18" s="157"/>
      <c r="I18" s="157"/>
      <c r="J18" s="385">
        <v>380.34598068999901</v>
      </c>
      <c r="K18" s="373"/>
    </row>
    <row r="19" spans="1:11" ht="25.5" customHeight="1" x14ac:dyDescent="0.25">
      <c r="A19" s="366"/>
      <c r="B19" s="1142" t="s">
        <v>142</v>
      </c>
      <c r="C19" s="1142"/>
      <c r="D19" s="1142"/>
      <c r="E19" s="1142"/>
      <c r="F19" s="1142"/>
      <c r="G19" s="1142"/>
      <c r="H19" s="1142"/>
      <c r="I19" s="1142"/>
      <c r="J19" s="1142"/>
      <c r="K19" s="1142"/>
    </row>
    <row r="20" spans="1:11" ht="36.75" customHeight="1" x14ac:dyDescent="0.25">
      <c r="A20" s="366"/>
      <c r="B20" s="1142"/>
      <c r="C20" s="1142"/>
      <c r="D20" s="1142"/>
      <c r="E20" s="1142"/>
      <c r="F20" s="1142"/>
      <c r="G20" s="1142"/>
      <c r="H20" s="1142"/>
      <c r="I20" s="1142"/>
      <c r="J20" s="1142"/>
      <c r="K20" s="1142"/>
    </row>
    <row r="21" spans="1:11" ht="25.5" customHeight="1" x14ac:dyDescent="0.25">
      <c r="A21" s="365"/>
      <c r="D21" s="123"/>
      <c r="H21" s="157"/>
      <c r="I21" s="157"/>
      <c r="J21" s="157"/>
      <c r="K21" s="157"/>
    </row>
    <row r="22" spans="1:11" ht="25.5" customHeight="1" x14ac:dyDescent="0.25">
      <c r="A22" s="365"/>
      <c r="D22" s="123"/>
      <c r="H22" s="157"/>
      <c r="I22" s="157"/>
      <c r="J22" s="157"/>
      <c r="K22" s="157"/>
    </row>
    <row r="23" spans="1:11" ht="17.25" customHeight="1" x14ac:dyDescent="0.25">
      <c r="A23" s="365"/>
      <c r="D23" s="123"/>
      <c r="H23" s="157"/>
      <c r="I23" s="157"/>
      <c r="J23" s="157"/>
      <c r="K23" s="157"/>
    </row>
    <row r="24" spans="1:11" ht="17.25" customHeight="1" x14ac:dyDescent="0.25">
      <c r="A24" s="365"/>
      <c r="D24" s="123"/>
      <c r="H24" s="157"/>
      <c r="I24" s="157"/>
      <c r="J24" s="157"/>
      <c r="K24" s="157"/>
    </row>
    <row r="25" spans="1:11" ht="15.75" customHeight="1" x14ac:dyDescent="0.25">
      <c r="A25" s="365"/>
      <c r="D25" s="123"/>
      <c r="H25" s="157"/>
      <c r="I25" s="157"/>
      <c r="J25" s="157"/>
      <c r="K25" s="157"/>
    </row>
    <row r="26" spans="1:11" ht="15" customHeight="1" x14ac:dyDescent="0.25">
      <c r="C26" s="3"/>
      <c r="D26" s="3"/>
      <c r="E26" s="3"/>
      <c r="F26" s="3"/>
      <c r="G26" s="1126" t="s">
        <v>116</v>
      </c>
      <c r="H26" s="1126"/>
      <c r="I26" s="320">
        <f>+I5+I6+I8+I10</f>
        <v>322157.18900000001</v>
      </c>
      <c r="J26" s="320">
        <f>+J5+J6+J10</f>
        <v>50636.833300000006</v>
      </c>
      <c r="K26" s="157"/>
    </row>
    <row r="27" spans="1:11" ht="21" customHeight="1" thickBot="1" x14ac:dyDescent="0.3">
      <c r="C27" s="169"/>
      <c r="G27" s="1127"/>
      <c r="H27" s="1127"/>
      <c r="I27" s="157"/>
      <c r="J27" s="318">
        <f>+I26+J26</f>
        <v>372794.02230000001</v>
      </c>
      <c r="K27" s="324">
        <v>53744.428999999996</v>
      </c>
    </row>
    <row r="28" spans="1:11" ht="21" thickBot="1" x14ac:dyDescent="0.3">
      <c r="G28" s="321">
        <v>580084.429</v>
      </c>
      <c r="H28" s="321">
        <v>259684.429</v>
      </c>
      <c r="I28" s="157"/>
      <c r="J28" s="157"/>
      <c r="K28" s="325">
        <v>15751.47479</v>
      </c>
    </row>
    <row r="29" spans="1:11" ht="21" thickBot="1" x14ac:dyDescent="0.3">
      <c r="G29" s="319">
        <v>480144.429</v>
      </c>
      <c r="H29" s="319">
        <v>159744.429</v>
      </c>
      <c r="I29" s="157"/>
      <c r="J29" s="157"/>
      <c r="K29" s="325">
        <v>106000</v>
      </c>
    </row>
    <row r="30" spans="1:11" ht="21" thickBot="1" x14ac:dyDescent="0.3">
      <c r="G30" s="319">
        <v>99940</v>
      </c>
      <c r="H30" s="319">
        <v>99940</v>
      </c>
      <c r="I30" s="157"/>
      <c r="J30" s="157"/>
      <c r="K30" s="325">
        <v>17442.679250000001</v>
      </c>
    </row>
    <row r="31" spans="1:11" ht="21" thickBot="1" x14ac:dyDescent="0.3">
      <c r="G31" s="322">
        <f>+G28-J27</f>
        <v>207290.40669999999</v>
      </c>
      <c r="H31" s="322">
        <f>+H28-K34</f>
        <v>14731.01370000001</v>
      </c>
      <c r="I31" s="320"/>
      <c r="J31" s="157"/>
      <c r="K31" s="325">
        <v>17442.679260000001</v>
      </c>
    </row>
    <row r="32" spans="1:11" ht="21" thickBot="1" x14ac:dyDescent="0.3">
      <c r="J32" s="157"/>
      <c r="K32" s="325">
        <v>2011.153</v>
      </c>
    </row>
    <row r="33" spans="10:11" ht="21" thickBot="1" x14ac:dyDescent="0.3">
      <c r="J33" s="157"/>
      <c r="K33" s="325">
        <v>32561</v>
      </c>
    </row>
    <row r="34" spans="10:11" ht="21" thickBot="1" x14ac:dyDescent="0.3">
      <c r="K34" s="324">
        <f>+K27+K28+K29+K30+K31+K32+K33</f>
        <v>244953.41529999999</v>
      </c>
    </row>
  </sheetData>
  <mergeCells count="15">
    <mergeCell ref="A1:K1"/>
    <mergeCell ref="A2:K2"/>
    <mergeCell ref="A13:G13"/>
    <mergeCell ref="B15:D15"/>
    <mergeCell ref="E15:F15"/>
    <mergeCell ref="H15:I15"/>
    <mergeCell ref="A11:G11"/>
    <mergeCell ref="G26:H27"/>
    <mergeCell ref="B16:D16"/>
    <mergeCell ref="E16:F16"/>
    <mergeCell ref="H16:I17"/>
    <mergeCell ref="J16:K17"/>
    <mergeCell ref="B17:D17"/>
    <mergeCell ref="E17:F17"/>
    <mergeCell ref="B19:K20"/>
  </mergeCells>
  <pageMargins left="0.56000000000000005" right="0.15748031496062992" top="0.74803149606299213" bottom="0.19685039370078741" header="0.19685039370078741" footer="0.19685039370078741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tabColor rgb="FF7030A0"/>
  </sheetPr>
  <dimension ref="A1:L29"/>
  <sheetViews>
    <sheetView zoomScaleNormal="100" zoomScaleSheetLayoutView="85" zoomScalePageLayoutView="60" workbookViewId="0">
      <selection activeCell="C14" sqref="C14"/>
    </sheetView>
  </sheetViews>
  <sheetFormatPr defaultRowHeight="14.25" x14ac:dyDescent="0.2"/>
  <cols>
    <col min="1" max="1" width="6.140625" style="2" customWidth="1"/>
    <col min="2" max="2" width="41.7109375" style="3" customWidth="1"/>
    <col min="3" max="3" width="21.42578125" style="2" customWidth="1"/>
    <col min="4" max="4" width="22.140625" style="2" customWidth="1"/>
    <col min="5" max="5" width="12.28515625" style="2" customWidth="1"/>
    <col min="6" max="6" width="14" style="2" customWidth="1"/>
    <col min="7" max="7" width="10.5703125" style="2" customWidth="1"/>
    <col min="8" max="8" width="14.85546875" style="2" customWidth="1"/>
    <col min="9" max="9" width="23.28515625" style="2" customWidth="1"/>
    <col min="10" max="10" width="20" style="2" customWidth="1"/>
    <col min="11" max="11" width="20.28515625" style="2" customWidth="1"/>
    <col min="12" max="12" width="22.5703125" style="2" customWidth="1"/>
    <col min="13" max="16384" width="9.140625" style="2"/>
  </cols>
  <sheetData>
    <row r="1" spans="1:12" s="122" customFormat="1" ht="33" customHeight="1" x14ac:dyDescent="0.25">
      <c r="A1" s="1187" t="s">
        <v>172</v>
      </c>
      <c r="B1" s="1187"/>
      <c r="C1" s="1187"/>
      <c r="D1" s="1187"/>
      <c r="E1" s="1187"/>
      <c r="F1" s="1187"/>
      <c r="G1" s="1187"/>
      <c r="H1" s="1187"/>
      <c r="I1" s="1187"/>
      <c r="J1" s="1187"/>
      <c r="K1" s="1187"/>
      <c r="L1" s="1187"/>
    </row>
    <row r="2" spans="1:12" ht="21.75" customHeight="1" x14ac:dyDescent="0.2">
      <c r="A2" s="1144" t="s">
        <v>91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</row>
    <row r="3" spans="1:12" s="409" customFormat="1" ht="51" customHeight="1" thickBot="1" x14ac:dyDescent="0.3">
      <c r="A3" s="533" t="s">
        <v>15</v>
      </c>
      <c r="B3" s="533" t="s">
        <v>0</v>
      </c>
      <c r="C3" s="533" t="s">
        <v>1</v>
      </c>
      <c r="D3" s="533" t="s">
        <v>2</v>
      </c>
      <c r="E3" s="533" t="s">
        <v>3</v>
      </c>
      <c r="F3" s="533" t="s">
        <v>4</v>
      </c>
      <c r="G3" s="1192" t="s">
        <v>18</v>
      </c>
      <c r="H3" s="1193"/>
      <c r="I3" s="533" t="s">
        <v>135</v>
      </c>
      <c r="J3" s="533" t="s">
        <v>99</v>
      </c>
      <c r="K3" s="533" t="s">
        <v>147</v>
      </c>
      <c r="L3" s="533" t="s">
        <v>164</v>
      </c>
    </row>
    <row r="4" spans="1:12" ht="51.75" customHeight="1" x14ac:dyDescent="0.2">
      <c r="A4" s="534">
        <v>1</v>
      </c>
      <c r="B4" s="535" t="s">
        <v>5</v>
      </c>
      <c r="C4" s="536" t="s">
        <v>127</v>
      </c>
      <c r="D4" s="537">
        <f>500000000/1000</f>
        <v>500000</v>
      </c>
      <c r="E4" s="536">
        <v>2012</v>
      </c>
      <c r="F4" s="536" t="s">
        <v>129</v>
      </c>
      <c r="G4" s="1160" t="s">
        <v>7</v>
      </c>
      <c r="H4" s="1161"/>
      <c r="I4" s="538">
        <v>477027.92060000001</v>
      </c>
      <c r="J4" s="539">
        <v>0</v>
      </c>
      <c r="K4" s="539">
        <v>0</v>
      </c>
      <c r="L4" s="540">
        <f>+I4-J4</f>
        <v>477027.92060000001</v>
      </c>
    </row>
    <row r="5" spans="1:12" ht="47.25" customHeight="1" x14ac:dyDescent="0.2">
      <c r="A5" s="235">
        <v>2</v>
      </c>
      <c r="B5" s="236" t="s">
        <v>125</v>
      </c>
      <c r="C5" s="237" t="s">
        <v>137</v>
      </c>
      <c r="D5" s="129">
        <v>2250000</v>
      </c>
      <c r="E5" s="237">
        <v>2016</v>
      </c>
      <c r="F5" s="237" t="s">
        <v>130</v>
      </c>
      <c r="G5" s="1156">
        <v>0.02</v>
      </c>
      <c r="H5" s="1157"/>
      <c r="I5" s="413">
        <v>2012961.9251400002</v>
      </c>
      <c r="J5" s="415">
        <v>11229.465529999999</v>
      </c>
      <c r="K5" s="416">
        <v>7663.6935199999998</v>
      </c>
      <c r="L5" s="357">
        <f>+I5-J5</f>
        <v>2001732.4596100003</v>
      </c>
    </row>
    <row r="6" spans="1:12" ht="38.25" customHeight="1" x14ac:dyDescent="0.2">
      <c r="A6" s="235">
        <v>3</v>
      </c>
      <c r="B6" s="236" t="s">
        <v>126</v>
      </c>
      <c r="C6" s="237" t="s">
        <v>137</v>
      </c>
      <c r="D6" s="129">
        <v>1070000</v>
      </c>
      <c r="E6" s="237">
        <v>2016</v>
      </c>
      <c r="F6" s="237" t="s">
        <v>130</v>
      </c>
      <c r="G6" s="1156">
        <v>0.02</v>
      </c>
      <c r="H6" s="1157"/>
      <c r="I6" s="413">
        <v>822540.31874999998</v>
      </c>
      <c r="J6" s="415">
        <v>8263.02952</v>
      </c>
      <c r="K6" s="416">
        <v>7663.6935199999998</v>
      </c>
      <c r="L6" s="357">
        <f>+I6-J6</f>
        <v>814277.28922999999</v>
      </c>
    </row>
    <row r="7" spans="1:12" ht="36" customHeight="1" x14ac:dyDescent="0.2">
      <c r="A7" s="235">
        <v>4</v>
      </c>
      <c r="B7" s="236" t="s">
        <v>19</v>
      </c>
      <c r="C7" s="237" t="s">
        <v>138</v>
      </c>
      <c r="D7" s="129">
        <f>200000000/1000</f>
        <v>200000</v>
      </c>
      <c r="E7" s="237">
        <v>2012</v>
      </c>
      <c r="F7" s="237" t="s">
        <v>131</v>
      </c>
      <c r="G7" s="1162" t="s">
        <v>12</v>
      </c>
      <c r="H7" s="1163"/>
      <c r="I7" s="355">
        <v>200000</v>
      </c>
      <c r="J7" s="323">
        <v>0</v>
      </c>
      <c r="K7" s="323">
        <v>0</v>
      </c>
      <c r="L7" s="357">
        <f>+I7-J7</f>
        <v>200000</v>
      </c>
    </row>
    <row r="8" spans="1:12" ht="34.5" customHeight="1" x14ac:dyDescent="0.2">
      <c r="A8" s="235">
        <v>5</v>
      </c>
      <c r="B8" s="239" t="s">
        <v>9</v>
      </c>
      <c r="C8" s="240" t="s">
        <v>140</v>
      </c>
      <c r="D8" s="130">
        <v>300000</v>
      </c>
      <c r="E8" s="131">
        <v>2009</v>
      </c>
      <c r="F8" s="131" t="s">
        <v>11</v>
      </c>
      <c r="G8" s="1164" t="s">
        <v>87</v>
      </c>
      <c r="H8" s="1165"/>
      <c r="I8" s="414">
        <v>49873.93</v>
      </c>
      <c r="J8" s="413">
        <v>49873.93</v>
      </c>
      <c r="K8" s="354">
        <v>126.07</v>
      </c>
      <c r="L8" s="371">
        <v>0</v>
      </c>
    </row>
    <row r="9" spans="1:12" ht="51.75" customHeight="1" x14ac:dyDescent="0.2">
      <c r="A9" s="235">
        <v>6</v>
      </c>
      <c r="B9" s="239" t="s">
        <v>170</v>
      </c>
      <c r="C9" s="240" t="s">
        <v>14</v>
      </c>
      <c r="D9" s="130">
        <v>1165000</v>
      </c>
      <c r="E9" s="131">
        <v>2019</v>
      </c>
      <c r="F9" s="131" t="s">
        <v>96</v>
      </c>
      <c r="G9" s="1156">
        <v>0.02</v>
      </c>
      <c r="H9" s="1157"/>
      <c r="I9" s="414">
        <v>741000</v>
      </c>
      <c r="J9" s="358">
        <v>35000</v>
      </c>
      <c r="K9" s="413">
        <v>168.42972</v>
      </c>
      <c r="L9" s="357">
        <f>+I9-J9</f>
        <v>706000</v>
      </c>
    </row>
    <row r="10" spans="1:12" s="409" customFormat="1" ht="30" customHeight="1" thickBot="1" x14ac:dyDescent="0.3">
      <c r="A10" s="1190" t="s">
        <v>23</v>
      </c>
      <c r="B10" s="1191"/>
      <c r="C10" s="1191"/>
      <c r="D10" s="541">
        <f>+SUM(D4:D9)</f>
        <v>5485000</v>
      </c>
      <c r="E10" s="545"/>
      <c r="F10" s="546"/>
      <c r="G10" s="546"/>
      <c r="H10" s="547"/>
      <c r="I10" s="541">
        <f>+SUM(I4:I9)</f>
        <v>4303404.094490001</v>
      </c>
      <c r="J10" s="541">
        <f>+SUM(J4:J9)</f>
        <v>104366.42504999999</v>
      </c>
      <c r="K10" s="541">
        <f>+SUM(K4:K9)</f>
        <v>15621.886759999999</v>
      </c>
      <c r="L10" s="541">
        <f>+SUM(L4:L9)</f>
        <v>4199037.6694400003</v>
      </c>
    </row>
    <row r="11" spans="1:12" s="409" customFormat="1" ht="51" customHeight="1" x14ac:dyDescent="0.25">
      <c r="A11" s="533" t="s">
        <v>15</v>
      </c>
      <c r="B11" s="533" t="s">
        <v>0</v>
      </c>
      <c r="C11" s="533" t="s">
        <v>1</v>
      </c>
      <c r="D11" s="533" t="s">
        <v>2</v>
      </c>
      <c r="E11" s="533" t="s">
        <v>3</v>
      </c>
      <c r="F11" s="533" t="s">
        <v>4</v>
      </c>
      <c r="G11" s="533" t="s">
        <v>18</v>
      </c>
      <c r="H11" s="533" t="s">
        <v>167</v>
      </c>
      <c r="I11" s="533" t="s">
        <v>135</v>
      </c>
      <c r="J11" s="533" t="s">
        <v>99</v>
      </c>
      <c r="K11" s="533" t="s">
        <v>147</v>
      </c>
      <c r="L11" s="533" t="s">
        <v>164</v>
      </c>
    </row>
    <row r="12" spans="1:12" ht="36" customHeight="1" x14ac:dyDescent="0.2">
      <c r="A12" s="235">
        <v>7</v>
      </c>
      <c r="B12" s="236" t="s">
        <v>156</v>
      </c>
      <c r="C12" s="237" t="s">
        <v>157</v>
      </c>
      <c r="D12" s="129">
        <f>50000000/1000</f>
        <v>50000</v>
      </c>
      <c r="E12" s="532">
        <v>45308</v>
      </c>
      <c r="F12" s="237" t="s">
        <v>158</v>
      </c>
      <c r="G12" s="372">
        <v>0.08</v>
      </c>
      <c r="H12" s="372" t="s">
        <v>173</v>
      </c>
      <c r="I12" s="323">
        <v>0</v>
      </c>
      <c r="J12" s="323">
        <v>0</v>
      </c>
      <c r="K12" s="323">
        <v>0</v>
      </c>
      <c r="L12" s="357">
        <f>50000</f>
        <v>50000</v>
      </c>
    </row>
    <row r="13" spans="1:12" ht="36" customHeight="1" x14ac:dyDescent="0.2">
      <c r="A13" s="235">
        <v>8</v>
      </c>
      <c r="B13" s="236" t="s">
        <v>159</v>
      </c>
      <c r="C13" s="237" t="s">
        <v>157</v>
      </c>
      <c r="D13" s="129">
        <f>30000000/1000</f>
        <v>30000</v>
      </c>
      <c r="E13" s="532">
        <v>45308</v>
      </c>
      <c r="F13" s="237" t="s">
        <v>160</v>
      </c>
      <c r="G13" s="372">
        <v>0.1</v>
      </c>
      <c r="H13" s="372" t="s">
        <v>174</v>
      </c>
      <c r="I13" s="323">
        <v>0</v>
      </c>
      <c r="J13" s="323">
        <v>0</v>
      </c>
      <c r="K13" s="323">
        <v>0</v>
      </c>
      <c r="L13" s="357">
        <v>30000</v>
      </c>
    </row>
    <row r="14" spans="1:12" ht="36" customHeight="1" x14ac:dyDescent="0.2">
      <c r="A14" s="235">
        <v>9</v>
      </c>
      <c r="B14" s="236" t="s">
        <v>161</v>
      </c>
      <c r="C14" s="237" t="s">
        <v>157</v>
      </c>
      <c r="D14" s="129">
        <f>20000000/1000</f>
        <v>20000</v>
      </c>
      <c r="E14" s="532">
        <v>45308</v>
      </c>
      <c r="F14" s="237" t="s">
        <v>162</v>
      </c>
      <c r="G14" s="372">
        <v>0.12</v>
      </c>
      <c r="H14" s="372" t="s">
        <v>175</v>
      </c>
      <c r="I14" s="323">
        <v>0</v>
      </c>
      <c r="J14" s="323">
        <v>0</v>
      </c>
      <c r="K14" s="323">
        <v>0</v>
      </c>
      <c r="L14" s="357">
        <v>20000</v>
      </c>
    </row>
    <row r="15" spans="1:12" ht="36" customHeight="1" x14ac:dyDescent="0.2">
      <c r="A15" s="235">
        <v>10</v>
      </c>
      <c r="B15" s="236" t="s">
        <v>156</v>
      </c>
      <c r="C15" s="237" t="s">
        <v>157</v>
      </c>
      <c r="D15" s="129">
        <f>30000000/1000</f>
        <v>30000</v>
      </c>
      <c r="E15" s="532">
        <v>45380</v>
      </c>
      <c r="F15" s="237" t="s">
        <v>158</v>
      </c>
      <c r="G15" s="372" t="s">
        <v>171</v>
      </c>
      <c r="H15" s="372" t="s">
        <v>176</v>
      </c>
      <c r="I15" s="323">
        <v>0</v>
      </c>
      <c r="J15" s="323">
        <v>0</v>
      </c>
      <c r="K15" s="323">
        <v>0</v>
      </c>
      <c r="L15" s="357">
        <v>29150.436089999999</v>
      </c>
    </row>
    <row r="16" spans="1:12" s="409" customFormat="1" ht="30" customHeight="1" thickBot="1" x14ac:dyDescent="0.3">
      <c r="A16" s="1190" t="s">
        <v>168</v>
      </c>
      <c r="B16" s="1191"/>
      <c r="C16" s="1191"/>
      <c r="D16" s="541">
        <f>+SUM(D12:D15)</f>
        <v>130000</v>
      </c>
      <c r="E16" s="1173"/>
      <c r="F16" s="1174"/>
      <c r="G16" s="1174"/>
      <c r="H16" s="1175"/>
      <c r="I16" s="548">
        <f>+SUM(I12:I15)</f>
        <v>0</v>
      </c>
      <c r="J16" s="548">
        <f>+SUM(J12:J15)</f>
        <v>0</v>
      </c>
      <c r="K16" s="549">
        <f>+K15</f>
        <v>0</v>
      </c>
      <c r="L16" s="549">
        <f>+SUM(L12:L15)</f>
        <v>129150.43609</v>
      </c>
    </row>
    <row r="17" spans="1:12" s="409" customFormat="1" ht="46.5" customHeight="1" thickBot="1" x14ac:dyDescent="0.3">
      <c r="A17" s="1190" t="s">
        <v>169</v>
      </c>
      <c r="B17" s="1191"/>
      <c r="C17" s="1191"/>
      <c r="D17" s="541">
        <f>+D10+D16</f>
        <v>5615000</v>
      </c>
      <c r="E17" s="1176"/>
      <c r="F17" s="1177"/>
      <c r="G17" s="1177"/>
      <c r="H17" s="1178"/>
      <c r="I17" s="541">
        <f>+I10+I16</f>
        <v>4303404.094490001</v>
      </c>
      <c r="J17" s="541">
        <f>+J10+J16</f>
        <v>104366.42504999999</v>
      </c>
      <c r="K17" s="541">
        <f>+K10+K16</f>
        <v>15621.886759999999</v>
      </c>
      <c r="L17" s="541">
        <f>+L10+L16</f>
        <v>4328188.1055300003</v>
      </c>
    </row>
    <row r="18" spans="1:12" ht="28.5" customHeight="1" thickBot="1" x14ac:dyDescent="0.25">
      <c r="A18" s="360"/>
      <c r="B18" s="360"/>
      <c r="C18" s="361"/>
      <c r="D18" s="362"/>
      <c r="E18" s="363"/>
      <c r="F18" s="363"/>
      <c r="G18" s="364"/>
      <c r="H18" s="364"/>
      <c r="I18" s="384"/>
      <c r="J18" s="370"/>
      <c r="K18" s="370"/>
      <c r="L18" s="370"/>
    </row>
    <row r="19" spans="1:12" ht="36.75" customHeight="1" thickBot="1" x14ac:dyDescent="0.25">
      <c r="A19" s="366"/>
      <c r="B19" s="1128" t="s">
        <v>88</v>
      </c>
      <c r="C19" s="1129"/>
      <c r="D19" s="1130"/>
      <c r="E19" s="1188">
        <v>143945</v>
      </c>
      <c r="F19" s="1189"/>
      <c r="G19" s="366"/>
      <c r="H19" s="366"/>
      <c r="I19" s="1150" t="s">
        <v>166</v>
      </c>
      <c r="J19" s="1151"/>
      <c r="K19" s="417">
        <f>+I17-L17</f>
        <v>-24784.011039999314</v>
      </c>
      <c r="L19" s="368">
        <f>+(K19/I17)*100%</f>
        <v>-5.7591642559740794E-3</v>
      </c>
    </row>
    <row r="20" spans="1:12" ht="21" thickBot="1" x14ac:dyDescent="0.25">
      <c r="A20" s="366"/>
      <c r="B20" s="1128" t="s">
        <v>89</v>
      </c>
      <c r="C20" s="1129"/>
      <c r="D20" s="1130"/>
      <c r="E20" s="1131">
        <f>L17/E19/1000</f>
        <v>3.0068346281774291E-2</v>
      </c>
      <c r="F20" s="1132"/>
      <c r="G20" s="366"/>
      <c r="H20" s="366"/>
      <c r="I20" s="1133" t="s">
        <v>90</v>
      </c>
      <c r="J20" s="1134"/>
      <c r="K20" s="1181">
        <f>+J17+K17</f>
        <v>119988.31180999998</v>
      </c>
      <c r="L20" s="1182"/>
    </row>
    <row r="21" spans="1:12" s="19" customFormat="1" ht="18.75" thickBot="1" x14ac:dyDescent="0.3">
      <c r="A21" s="366"/>
      <c r="B21" s="1137" t="s">
        <v>177</v>
      </c>
      <c r="C21" s="1138"/>
      <c r="D21" s="1139"/>
      <c r="E21" s="1185">
        <f>+L17/G21</f>
        <v>395228.61680835718</v>
      </c>
      <c r="F21" s="1186"/>
      <c r="G21" s="1158">
        <v>10.9511</v>
      </c>
      <c r="H21" s="1159"/>
      <c r="I21" s="1135"/>
      <c r="J21" s="1136"/>
      <c r="K21" s="1183"/>
      <c r="L21" s="1184"/>
    </row>
    <row r="22" spans="1:12" s="19" customFormat="1" ht="24.75" customHeight="1" thickBot="1" x14ac:dyDescent="0.3">
      <c r="A22" s="365"/>
      <c r="B22" s="3"/>
      <c r="C22" s="2"/>
      <c r="D22" s="123"/>
      <c r="E22" s="2"/>
      <c r="F22" s="2"/>
      <c r="G22" s="1172" t="s">
        <v>165</v>
      </c>
      <c r="H22" s="1172"/>
      <c r="I22" s="157"/>
      <c r="J22" s="157"/>
      <c r="K22" s="157"/>
      <c r="L22" s="157"/>
    </row>
    <row r="23" spans="1:12" s="19" customFormat="1" ht="15" customHeight="1" x14ac:dyDescent="0.25">
      <c r="A23" s="2"/>
      <c r="B23" s="3"/>
      <c r="C23" s="3"/>
      <c r="D23" s="3"/>
      <c r="E23" s="3"/>
      <c r="G23" s="1166" t="s">
        <v>116</v>
      </c>
      <c r="H23" s="1167"/>
      <c r="I23" s="1168"/>
      <c r="J23" s="320"/>
      <c r="K23" s="320"/>
      <c r="L23" s="157"/>
    </row>
    <row r="24" spans="1:12" s="19" customFormat="1" ht="21" customHeight="1" thickBot="1" x14ac:dyDescent="0.3">
      <c r="A24" s="2"/>
      <c r="B24" s="3"/>
      <c r="C24" s="169"/>
      <c r="D24" s="2"/>
      <c r="E24" s="2"/>
      <c r="G24" s="1169"/>
      <c r="H24" s="1170"/>
      <c r="I24" s="1171"/>
      <c r="J24" s="157"/>
      <c r="K24" s="318">
        <f>+J23+K23</f>
        <v>0</v>
      </c>
      <c r="L24" s="324">
        <v>7663.6935299999996</v>
      </c>
    </row>
    <row r="25" spans="1:12" s="19" customFormat="1" ht="21" thickBot="1" x14ac:dyDescent="0.3">
      <c r="A25" s="2"/>
      <c r="B25" s="3"/>
      <c r="C25" s="2"/>
      <c r="D25" s="2"/>
      <c r="E25" s="2"/>
      <c r="G25" s="1179">
        <v>501220</v>
      </c>
      <c r="H25" s="1180"/>
      <c r="I25" s="550">
        <v>180820</v>
      </c>
      <c r="J25" s="157"/>
      <c r="K25" s="157"/>
      <c r="L25" s="325">
        <f>+K5</f>
        <v>7663.6935199999998</v>
      </c>
    </row>
    <row r="26" spans="1:12" s="19" customFormat="1" ht="21" thickBot="1" x14ac:dyDescent="0.3">
      <c r="A26" s="2"/>
      <c r="B26" s="3"/>
      <c r="C26" s="2"/>
      <c r="D26" s="2"/>
      <c r="E26" s="2"/>
      <c r="G26" s="1152">
        <v>426400</v>
      </c>
      <c r="H26" s="1153"/>
      <c r="I26" s="551">
        <v>106000</v>
      </c>
      <c r="J26" s="157"/>
      <c r="K26" s="157"/>
      <c r="L26" s="325">
        <f>+K6</f>
        <v>7663.6935199999998</v>
      </c>
    </row>
    <row r="27" spans="1:12" s="19" customFormat="1" ht="21" thickBot="1" x14ac:dyDescent="0.3">
      <c r="A27" s="2"/>
      <c r="B27" s="3"/>
      <c r="C27" s="2"/>
      <c r="D27" s="2"/>
      <c r="E27" s="2"/>
      <c r="G27" s="1152">
        <v>74820</v>
      </c>
      <c r="H27" s="1153"/>
      <c r="I27" s="551">
        <v>74820</v>
      </c>
      <c r="J27" s="157"/>
      <c r="K27" s="157"/>
      <c r="L27" s="325">
        <v>7663.6935199999998</v>
      </c>
    </row>
    <row r="28" spans="1:12" s="19" customFormat="1" ht="21" thickBot="1" x14ac:dyDescent="0.3">
      <c r="A28" s="2"/>
      <c r="B28" s="3"/>
      <c r="C28" s="2"/>
      <c r="D28" s="2"/>
      <c r="E28" s="2"/>
      <c r="G28" s="1154">
        <f>+G25-K24</f>
        <v>501220</v>
      </c>
      <c r="H28" s="1155"/>
      <c r="I28" s="552">
        <f>+I25-L29</f>
        <v>150165.22591000001</v>
      </c>
      <c r="J28" s="320"/>
      <c r="K28" s="157"/>
      <c r="L28" s="325"/>
    </row>
    <row r="29" spans="1:12" s="19" customFormat="1" ht="21" thickBot="1" x14ac:dyDescent="0.3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324">
        <f>+L24+L25+L26+L27+L28</f>
        <v>30654.774089999999</v>
      </c>
    </row>
  </sheetData>
  <sheetProtection algorithmName="SHA-512" hashValue="vbOnI3pkw9DImFkq11W7BTHwd/MRlbGp0oo6KWivkS6pr2Sw78QM78mw0VrUzlwql/w4qy5oBpmZ67HC+Mg8HA==" saltValue="uObD8Cqv2QzNOtbZYUgPyA==" spinCount="100000" sheet="1" objects="1" scenarios="1"/>
  <mergeCells count="30">
    <mergeCell ref="K20:L21"/>
    <mergeCell ref="B21:D21"/>
    <mergeCell ref="E21:F21"/>
    <mergeCell ref="A1:L1"/>
    <mergeCell ref="A2:L2"/>
    <mergeCell ref="B19:D19"/>
    <mergeCell ref="E19:F19"/>
    <mergeCell ref="I19:J19"/>
    <mergeCell ref="A10:C10"/>
    <mergeCell ref="A16:C16"/>
    <mergeCell ref="G3:H3"/>
    <mergeCell ref="A17:C17"/>
    <mergeCell ref="B20:D20"/>
    <mergeCell ref="E20:F20"/>
    <mergeCell ref="I20:J21"/>
    <mergeCell ref="G27:H27"/>
    <mergeCell ref="G28:H28"/>
    <mergeCell ref="G9:H9"/>
    <mergeCell ref="G21:H21"/>
    <mergeCell ref="G4:H4"/>
    <mergeCell ref="G5:H5"/>
    <mergeCell ref="G6:H6"/>
    <mergeCell ref="G7:H7"/>
    <mergeCell ref="G8:H8"/>
    <mergeCell ref="G23:I24"/>
    <mergeCell ref="G22:H22"/>
    <mergeCell ref="E16:H16"/>
    <mergeCell ref="E17:H17"/>
    <mergeCell ref="G25:H25"/>
    <mergeCell ref="G26:H26"/>
  </mergeCells>
  <pageMargins left="0.56000000000000005" right="0.15748031496062992" top="0.74803149606299213" bottom="0.19685039370078741" header="0.19685039370078741" footer="0.19685039370078741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R48"/>
  <sheetViews>
    <sheetView view="pageBreakPreview" zoomScale="85" zoomScaleNormal="90" zoomScaleSheetLayoutView="85" zoomScalePageLayoutView="60" workbookViewId="0">
      <selection activeCell="L14" sqref="L14"/>
    </sheetView>
  </sheetViews>
  <sheetFormatPr defaultRowHeight="14.25" x14ac:dyDescent="0.2"/>
  <cols>
    <col min="1" max="1" width="4" style="557" customWidth="1"/>
    <col min="2" max="2" width="44.7109375" style="3" customWidth="1"/>
    <col min="3" max="3" width="21.42578125" style="557" customWidth="1"/>
    <col min="4" max="4" width="22.42578125" style="557" customWidth="1"/>
    <col min="5" max="5" width="12.28515625" style="557" customWidth="1"/>
    <col min="6" max="6" width="11.85546875" style="557" customWidth="1"/>
    <col min="7" max="7" width="10.5703125" style="557" customWidth="1"/>
    <col min="8" max="8" width="13.7109375" style="557" customWidth="1"/>
    <col min="9" max="9" width="23.28515625" style="557" customWidth="1"/>
    <col min="10" max="10" width="24" style="557" customWidth="1"/>
    <col min="11" max="11" width="20" style="557" customWidth="1"/>
    <col min="12" max="12" width="20.28515625" style="557" customWidth="1"/>
    <col min="13" max="13" width="23.140625" style="557" bestFit="1" customWidth="1"/>
    <col min="14" max="14" width="26.85546875" style="557" hidden="1" customWidth="1"/>
    <col min="15" max="15" width="15.7109375" style="557" customWidth="1"/>
    <col min="16" max="16" width="14.140625" style="557" customWidth="1"/>
    <col min="17" max="17" width="13.42578125" style="557" customWidth="1"/>
    <col min="18" max="18" width="15.7109375" style="557" customWidth="1"/>
    <col min="19" max="16384" width="9.140625" style="557"/>
  </cols>
  <sheetData>
    <row r="1" spans="1:18" s="122" customFormat="1" ht="46.5" customHeight="1" x14ac:dyDescent="0.25">
      <c r="A1" s="1198" t="s">
        <v>211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</row>
    <row r="2" spans="1:18" ht="21.75" customHeight="1" thickBot="1" x14ac:dyDescent="0.25">
      <c r="A2" s="1144" t="s">
        <v>91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  <c r="M2" s="1144"/>
      <c r="N2" s="1144"/>
    </row>
    <row r="3" spans="1:18" s="409" customFormat="1" ht="51" customHeight="1" thickBot="1" x14ac:dyDescent="0.3">
      <c r="A3" s="635" t="s">
        <v>15</v>
      </c>
      <c r="B3" s="580" t="s">
        <v>0</v>
      </c>
      <c r="C3" s="581" t="s">
        <v>1</v>
      </c>
      <c r="D3" s="581" t="s">
        <v>2</v>
      </c>
      <c r="E3" s="581" t="s">
        <v>3</v>
      </c>
      <c r="F3" s="581" t="s">
        <v>4</v>
      </c>
      <c r="G3" s="1199" t="s">
        <v>18</v>
      </c>
      <c r="H3" s="1200"/>
      <c r="I3" s="581" t="s">
        <v>199</v>
      </c>
      <c r="J3" s="581" t="s">
        <v>203</v>
      </c>
      <c r="K3" s="581" t="s">
        <v>99</v>
      </c>
      <c r="L3" s="581" t="s">
        <v>147</v>
      </c>
      <c r="M3" s="636" t="s">
        <v>200</v>
      </c>
      <c r="N3" s="579" t="s">
        <v>208</v>
      </c>
    </row>
    <row r="4" spans="1:18" ht="51.75" customHeight="1" x14ac:dyDescent="0.2">
      <c r="A4" s="534">
        <v>1</v>
      </c>
      <c r="B4" s="535" t="s">
        <v>5</v>
      </c>
      <c r="C4" s="536" t="s">
        <v>127</v>
      </c>
      <c r="D4" s="537">
        <f>500000000/1000</f>
        <v>500000</v>
      </c>
      <c r="E4" s="536">
        <v>2012</v>
      </c>
      <c r="F4" s="536" t="s">
        <v>129</v>
      </c>
      <c r="G4" s="1160" t="s">
        <v>7</v>
      </c>
      <c r="H4" s="1161"/>
      <c r="I4" s="538">
        <v>477027.92060000001</v>
      </c>
      <c r="J4" s="538">
        <v>426905.02931575099</v>
      </c>
      <c r="K4" s="594">
        <v>1000</v>
      </c>
      <c r="L4" s="539">
        <v>0</v>
      </c>
      <c r="M4" s="642">
        <f t="shared" ref="M4:M9" si="0">+I4-K4</f>
        <v>476027.92060000001</v>
      </c>
      <c r="N4" s="656">
        <v>445877.72473634098</v>
      </c>
    </row>
    <row r="5" spans="1:18" ht="47.25" customHeight="1" x14ac:dyDescent="0.2">
      <c r="A5" s="235">
        <v>2</v>
      </c>
      <c r="B5" s="236" t="s">
        <v>125</v>
      </c>
      <c r="C5" s="237" t="s">
        <v>137</v>
      </c>
      <c r="D5" s="129">
        <v>2250000</v>
      </c>
      <c r="E5" s="237">
        <v>2016</v>
      </c>
      <c r="F5" s="237" t="s">
        <v>130</v>
      </c>
      <c r="G5" s="1156">
        <v>0.02</v>
      </c>
      <c r="H5" s="1157"/>
      <c r="I5" s="413">
        <v>2012961.9251400002</v>
      </c>
      <c r="J5" s="574">
        <v>148255.9123541</v>
      </c>
      <c r="K5" s="561">
        <f>136692.12753</f>
        <v>136692.12753</v>
      </c>
      <c r="L5" s="650">
        <v>20190.256519999999</v>
      </c>
      <c r="M5" s="643">
        <f t="shared" si="0"/>
        <v>1876269.7976100002</v>
      </c>
      <c r="N5" s="657">
        <v>147859.23176954401</v>
      </c>
      <c r="O5" s="153">
        <f>+K5-P5</f>
        <v>0</v>
      </c>
      <c r="P5" s="561">
        <v>136692.12753</v>
      </c>
      <c r="Q5" s="561">
        <v>23953.060529999999</v>
      </c>
    </row>
    <row r="6" spans="1:18" ht="38.25" customHeight="1" x14ac:dyDescent="0.2">
      <c r="A6" s="235">
        <v>3</v>
      </c>
      <c r="B6" s="236" t="s">
        <v>126</v>
      </c>
      <c r="C6" s="237" t="s">
        <v>137</v>
      </c>
      <c r="D6" s="129">
        <v>1070000</v>
      </c>
      <c r="E6" s="237">
        <v>2016</v>
      </c>
      <c r="F6" s="237" t="s">
        <v>130</v>
      </c>
      <c r="G6" s="1156">
        <v>0.02</v>
      </c>
      <c r="H6" s="1157"/>
      <c r="I6" s="413">
        <v>822540.31874999998</v>
      </c>
      <c r="J6" s="574">
        <v>115775.78858875899</v>
      </c>
      <c r="K6" s="561">
        <f>16825.36452</f>
        <v>16825.364519999999</v>
      </c>
      <c r="L6" s="650">
        <v>7663.6935199999998</v>
      </c>
      <c r="M6" s="643">
        <f t="shared" si="0"/>
        <v>805714.95423000003</v>
      </c>
      <c r="N6" s="657">
        <v>116209.70660603201</v>
      </c>
      <c r="O6" s="153">
        <f>+K6-P6</f>
        <v>0</v>
      </c>
      <c r="P6" s="561">
        <v>16825.364519999999</v>
      </c>
    </row>
    <row r="7" spans="1:18" ht="36" customHeight="1" x14ac:dyDescent="0.2">
      <c r="A7" s="235">
        <v>4</v>
      </c>
      <c r="B7" s="236" t="s">
        <v>19</v>
      </c>
      <c r="C7" s="237" t="s">
        <v>138</v>
      </c>
      <c r="D7" s="129">
        <f>200000000/1000</f>
        <v>200000</v>
      </c>
      <c r="E7" s="237">
        <v>2012</v>
      </c>
      <c r="F7" s="237" t="s">
        <v>131</v>
      </c>
      <c r="G7" s="1162" t="s">
        <v>12</v>
      </c>
      <c r="H7" s="1163"/>
      <c r="I7" s="355">
        <v>200000</v>
      </c>
      <c r="J7" s="323">
        <v>0</v>
      </c>
      <c r="K7" s="323">
        <v>0</v>
      </c>
      <c r="L7" s="323">
        <v>0</v>
      </c>
      <c r="M7" s="644">
        <f t="shared" si="0"/>
        <v>200000</v>
      </c>
      <c r="N7" s="640">
        <f>+J7-L7</f>
        <v>0</v>
      </c>
    </row>
    <row r="8" spans="1:18" ht="34.5" customHeight="1" x14ac:dyDescent="0.2">
      <c r="A8" s="235">
        <v>5</v>
      </c>
      <c r="B8" s="239" t="s">
        <v>9</v>
      </c>
      <c r="C8" s="240" t="s">
        <v>140</v>
      </c>
      <c r="D8" s="130">
        <v>300000</v>
      </c>
      <c r="E8" s="131">
        <v>2009</v>
      </c>
      <c r="F8" s="131" t="s">
        <v>11</v>
      </c>
      <c r="G8" s="1164" t="s">
        <v>87</v>
      </c>
      <c r="H8" s="1165"/>
      <c r="I8" s="414">
        <v>49873.93</v>
      </c>
      <c r="J8" s="414">
        <v>126.07</v>
      </c>
      <c r="K8" s="649">
        <v>49873.93</v>
      </c>
      <c r="L8" s="651">
        <v>126.07</v>
      </c>
      <c r="M8" s="645">
        <f t="shared" si="0"/>
        <v>0</v>
      </c>
      <c r="N8" s="640">
        <f>+J8-L8</f>
        <v>0</v>
      </c>
    </row>
    <row r="9" spans="1:18" ht="51.75" customHeight="1" x14ac:dyDescent="0.2">
      <c r="A9" s="235">
        <v>6</v>
      </c>
      <c r="B9" s="239" t="s">
        <v>170</v>
      </c>
      <c r="C9" s="240" t="s">
        <v>14</v>
      </c>
      <c r="D9" s="130">
        <v>1165000</v>
      </c>
      <c r="E9" s="131">
        <v>2019</v>
      </c>
      <c r="F9" s="131" t="s">
        <v>96</v>
      </c>
      <c r="G9" s="1156">
        <v>0.02</v>
      </c>
      <c r="H9" s="1157"/>
      <c r="I9" s="414">
        <v>741000</v>
      </c>
      <c r="J9" s="413">
        <v>168.42972</v>
      </c>
      <c r="K9" s="597">
        <f>35000+36000</f>
        <v>71000</v>
      </c>
      <c r="L9" s="649">
        <v>168.42972</v>
      </c>
      <c r="M9" s="644">
        <f t="shared" si="0"/>
        <v>670000</v>
      </c>
      <c r="N9" s="655">
        <v>14820</v>
      </c>
      <c r="P9" s="654">
        <v>28.74844976</v>
      </c>
    </row>
    <row r="10" spans="1:18" s="409" customFormat="1" ht="30" customHeight="1" thickBot="1" x14ac:dyDescent="0.3">
      <c r="A10" s="1190" t="s">
        <v>23</v>
      </c>
      <c r="B10" s="1191"/>
      <c r="C10" s="1191"/>
      <c r="D10" s="541">
        <f>+SUM(D4:D9)</f>
        <v>5485000</v>
      </c>
      <c r="E10" s="545"/>
      <c r="F10" s="546"/>
      <c r="G10" s="546"/>
      <c r="H10" s="547"/>
      <c r="I10" s="541">
        <f t="shared" ref="I10:N10" si="1">+SUM(I4:I9)</f>
        <v>4303404.094490001</v>
      </c>
      <c r="J10" s="541">
        <f t="shared" si="1"/>
        <v>691231.22997860995</v>
      </c>
      <c r="K10" s="541">
        <f t="shared" si="1"/>
        <v>275391.42204999999</v>
      </c>
      <c r="L10" s="541">
        <f t="shared" si="1"/>
        <v>28148.44976</v>
      </c>
      <c r="M10" s="590">
        <f t="shared" si="1"/>
        <v>4028012.6724399999</v>
      </c>
      <c r="N10" s="641">
        <f t="shared" si="1"/>
        <v>724766.66311191698</v>
      </c>
      <c r="O10" s="592">
        <v>4021292.69</v>
      </c>
      <c r="P10" s="598">
        <f>+M10-O10</f>
        <v>6719.9824399999343</v>
      </c>
      <c r="Q10" s="599">
        <v>6750</v>
      </c>
      <c r="R10" s="598">
        <f>+M10-Q10</f>
        <v>4021262.6724399999</v>
      </c>
    </row>
    <row r="11" spans="1:18" s="409" customFormat="1" ht="51" customHeight="1" thickBot="1" x14ac:dyDescent="0.3">
      <c r="A11" s="588" t="s">
        <v>15</v>
      </c>
      <c r="B11" s="580" t="s">
        <v>0</v>
      </c>
      <c r="C11" s="581" t="s">
        <v>1</v>
      </c>
      <c r="D11" s="581" t="s">
        <v>2</v>
      </c>
      <c r="E11" s="581" t="s">
        <v>3</v>
      </c>
      <c r="F11" s="581" t="s">
        <v>4</v>
      </c>
      <c r="G11" s="581" t="s">
        <v>18</v>
      </c>
      <c r="H11" s="581" t="s">
        <v>167</v>
      </c>
      <c r="I11" s="581" t="s">
        <v>199</v>
      </c>
      <c r="J11" s="581" t="s">
        <v>203</v>
      </c>
      <c r="K11" s="581" t="s">
        <v>99</v>
      </c>
      <c r="L11" s="581" t="s">
        <v>147</v>
      </c>
      <c r="M11" s="636" t="s">
        <v>200</v>
      </c>
      <c r="N11" s="646" t="s">
        <v>204</v>
      </c>
    </row>
    <row r="12" spans="1:18" ht="36" customHeight="1" x14ac:dyDescent="0.2">
      <c r="A12" s="235">
        <v>7</v>
      </c>
      <c r="B12" s="582" t="s">
        <v>156</v>
      </c>
      <c r="C12" s="583" t="s">
        <v>157</v>
      </c>
      <c r="D12" s="584">
        <f>50000000/1000</f>
        <v>50000</v>
      </c>
      <c r="E12" s="585">
        <v>45308</v>
      </c>
      <c r="F12" s="583" t="s">
        <v>158</v>
      </c>
      <c r="G12" s="586">
        <v>0.08</v>
      </c>
      <c r="H12" s="586" t="s">
        <v>173</v>
      </c>
      <c r="I12" s="587">
        <v>0</v>
      </c>
      <c r="J12" s="587">
        <v>0</v>
      </c>
      <c r="K12" s="587">
        <v>0</v>
      </c>
      <c r="L12" s="587">
        <v>0</v>
      </c>
      <c r="M12" s="648">
        <v>50000</v>
      </c>
      <c r="N12" s="1194"/>
    </row>
    <row r="13" spans="1:18" ht="36" customHeight="1" x14ac:dyDescent="0.2">
      <c r="A13" s="235">
        <v>8</v>
      </c>
      <c r="B13" s="236" t="s">
        <v>159</v>
      </c>
      <c r="C13" s="237" t="s">
        <v>157</v>
      </c>
      <c r="D13" s="129">
        <f>30000000/1000</f>
        <v>30000</v>
      </c>
      <c r="E13" s="532">
        <v>45308</v>
      </c>
      <c r="F13" s="237" t="s">
        <v>160</v>
      </c>
      <c r="G13" s="372">
        <v>0.1</v>
      </c>
      <c r="H13" s="372" t="s">
        <v>174</v>
      </c>
      <c r="I13" s="323">
        <v>0</v>
      </c>
      <c r="J13" s="323">
        <v>0</v>
      </c>
      <c r="K13" s="323">
        <v>0</v>
      </c>
      <c r="L13" s="323">
        <v>0</v>
      </c>
      <c r="M13" s="644">
        <v>30000</v>
      </c>
      <c r="N13" s="1195"/>
    </row>
    <row r="14" spans="1:18" ht="36" customHeight="1" x14ac:dyDescent="0.2">
      <c r="A14" s="235">
        <v>9</v>
      </c>
      <c r="B14" s="236" t="s">
        <v>161</v>
      </c>
      <c r="C14" s="237" t="s">
        <v>157</v>
      </c>
      <c r="D14" s="129">
        <f>20000000/1000</f>
        <v>20000</v>
      </c>
      <c r="E14" s="532">
        <v>45308</v>
      </c>
      <c r="F14" s="237" t="s">
        <v>162</v>
      </c>
      <c r="G14" s="372">
        <v>0.12</v>
      </c>
      <c r="H14" s="372" t="s">
        <v>175</v>
      </c>
      <c r="I14" s="323">
        <v>0</v>
      </c>
      <c r="J14" s="323">
        <v>0</v>
      </c>
      <c r="K14" s="323">
        <v>0</v>
      </c>
      <c r="L14" s="413">
        <v>600</v>
      </c>
      <c r="M14" s="644">
        <v>20000</v>
      </c>
      <c r="N14" s="1195"/>
    </row>
    <row r="15" spans="1:18" ht="36" customHeight="1" x14ac:dyDescent="0.2">
      <c r="A15" s="235">
        <v>10</v>
      </c>
      <c r="B15" s="236" t="s">
        <v>156</v>
      </c>
      <c r="C15" s="237" t="s">
        <v>157</v>
      </c>
      <c r="D15" s="129">
        <f>30000000/1000</f>
        <v>30000</v>
      </c>
      <c r="E15" s="532">
        <v>45380</v>
      </c>
      <c r="F15" s="237" t="s">
        <v>158</v>
      </c>
      <c r="G15" s="372" t="s">
        <v>171</v>
      </c>
      <c r="H15" s="372" t="s">
        <v>176</v>
      </c>
      <c r="I15" s="323">
        <v>0</v>
      </c>
      <c r="J15" s="323">
        <v>0</v>
      </c>
      <c r="K15" s="323">
        <v>0</v>
      </c>
      <c r="L15" s="323">
        <v>0</v>
      </c>
      <c r="M15" s="644">
        <v>29150.436089999999</v>
      </c>
      <c r="N15" s="1195"/>
    </row>
    <row r="16" spans="1:18" ht="36" customHeight="1" x14ac:dyDescent="0.2">
      <c r="A16" s="235">
        <v>11</v>
      </c>
      <c r="B16" s="236" t="s">
        <v>156</v>
      </c>
      <c r="C16" s="237" t="s">
        <v>157</v>
      </c>
      <c r="D16" s="129">
        <f>50000000/1000</f>
        <v>50000</v>
      </c>
      <c r="E16" s="532">
        <v>45401</v>
      </c>
      <c r="F16" s="237" t="s">
        <v>158</v>
      </c>
      <c r="G16" s="372" t="s">
        <v>179</v>
      </c>
      <c r="H16" s="372" t="s">
        <v>178</v>
      </c>
      <c r="I16" s="323">
        <v>0</v>
      </c>
      <c r="J16" s="323">
        <v>0</v>
      </c>
      <c r="K16" s="323">
        <v>0</v>
      </c>
      <c r="L16" s="323">
        <v>0</v>
      </c>
      <c r="M16" s="644">
        <v>48631.515379999903</v>
      </c>
      <c r="N16" s="1195"/>
    </row>
    <row r="17" spans="1:15" ht="36" customHeight="1" x14ac:dyDescent="0.2">
      <c r="A17" s="559">
        <v>12</v>
      </c>
      <c r="B17" s="236" t="s">
        <v>156</v>
      </c>
      <c r="C17" s="237" t="s">
        <v>157</v>
      </c>
      <c r="D17" s="560">
        <v>50000</v>
      </c>
      <c r="E17" s="532">
        <v>45436</v>
      </c>
      <c r="F17" s="237" t="s">
        <v>158</v>
      </c>
      <c r="G17" s="372" t="s">
        <v>180</v>
      </c>
      <c r="H17" s="372" t="s">
        <v>181</v>
      </c>
      <c r="I17" s="323">
        <v>0</v>
      </c>
      <c r="J17" s="323">
        <v>0</v>
      </c>
      <c r="K17" s="323">
        <v>0</v>
      </c>
      <c r="L17" s="323">
        <v>0</v>
      </c>
      <c r="M17" s="644">
        <v>48370.777249999999</v>
      </c>
      <c r="N17" s="1195"/>
      <c r="O17" s="153"/>
    </row>
    <row r="18" spans="1:15" ht="36" customHeight="1" x14ac:dyDescent="0.2">
      <c r="A18" s="235">
        <v>13</v>
      </c>
      <c r="B18" s="236" t="s">
        <v>156</v>
      </c>
      <c r="C18" s="237" t="s">
        <v>205</v>
      </c>
      <c r="D18" s="560">
        <v>50000</v>
      </c>
      <c r="E18" s="532">
        <v>45464</v>
      </c>
      <c r="F18" s="237" t="s">
        <v>158</v>
      </c>
      <c r="G18" s="372" t="s">
        <v>180</v>
      </c>
      <c r="H18" s="372" t="s">
        <v>206</v>
      </c>
      <c r="I18" s="323">
        <v>0</v>
      </c>
      <c r="J18" s="323">
        <v>0</v>
      </c>
      <c r="K18" s="323">
        <v>0</v>
      </c>
      <c r="L18" s="323">
        <v>0</v>
      </c>
      <c r="M18" s="644">
        <v>26312.131229999999</v>
      </c>
      <c r="N18" s="1196"/>
      <c r="O18" s="153"/>
    </row>
    <row r="19" spans="1:15" ht="36" hidden="1" customHeight="1" x14ac:dyDescent="0.2">
      <c r="A19" s="235">
        <v>14</v>
      </c>
      <c r="B19" s="236" t="s">
        <v>156</v>
      </c>
      <c r="C19" s="237" t="s">
        <v>205</v>
      </c>
      <c r="D19" s="560">
        <v>50000</v>
      </c>
      <c r="E19" s="532"/>
      <c r="F19" s="237"/>
      <c r="G19" s="372"/>
      <c r="H19" s="372"/>
      <c r="I19" s="323">
        <v>0</v>
      </c>
      <c r="J19" s="323">
        <v>0</v>
      </c>
      <c r="K19" s="323">
        <v>0</v>
      </c>
      <c r="L19" s="323">
        <v>0</v>
      </c>
      <c r="M19" s="644"/>
      <c r="N19" s="640"/>
      <c r="O19" s="153"/>
    </row>
    <row r="20" spans="1:15" s="409" customFormat="1" ht="30" customHeight="1" thickBot="1" x14ac:dyDescent="0.3">
      <c r="A20" s="1190" t="s">
        <v>168</v>
      </c>
      <c r="B20" s="1191"/>
      <c r="C20" s="1191"/>
      <c r="D20" s="541">
        <f>+SUM(D12:D18)</f>
        <v>280000</v>
      </c>
      <c r="E20" s="1173"/>
      <c r="F20" s="1174"/>
      <c r="G20" s="1174"/>
      <c r="H20" s="1175"/>
      <c r="I20" s="548">
        <f>+SUM(I12:I16)</f>
        <v>0</v>
      </c>
      <c r="J20" s="548">
        <f>+SUM(J12:J16)</f>
        <v>0</v>
      </c>
      <c r="K20" s="548">
        <f>+SUM(K12:K16)</f>
        <v>0</v>
      </c>
      <c r="L20" s="549">
        <f>+SUM(L12:L18)</f>
        <v>600</v>
      </c>
      <c r="M20" s="589">
        <f>+SUM(M12:M18)</f>
        <v>252464.8599499999</v>
      </c>
      <c r="N20" s="647">
        <f>+SUM(N12:N17)</f>
        <v>0</v>
      </c>
      <c r="O20" s="156">
        <f>+D20-N20</f>
        <v>280000</v>
      </c>
    </row>
    <row r="21" spans="1:15" s="409" customFormat="1" ht="46.5" customHeight="1" thickBot="1" x14ac:dyDescent="0.3">
      <c r="A21" s="1190" t="s">
        <v>169</v>
      </c>
      <c r="B21" s="1191"/>
      <c r="C21" s="1191"/>
      <c r="D21" s="541">
        <f>+D10+D20</f>
        <v>5765000</v>
      </c>
      <c r="E21" s="1176"/>
      <c r="F21" s="1177"/>
      <c r="G21" s="1177"/>
      <c r="H21" s="1178"/>
      <c r="I21" s="541">
        <f t="shared" ref="I21:N21" si="2">+I10+I20</f>
        <v>4303404.094490001</v>
      </c>
      <c r="J21" s="541">
        <f t="shared" si="2"/>
        <v>691231.22997860995</v>
      </c>
      <c r="K21" s="541">
        <f t="shared" si="2"/>
        <v>275391.42204999999</v>
      </c>
      <c r="L21" s="541">
        <f t="shared" si="2"/>
        <v>28748.44976</v>
      </c>
      <c r="M21" s="590">
        <f t="shared" si="2"/>
        <v>4280477.5323899994</v>
      </c>
      <c r="N21" s="641">
        <f t="shared" si="2"/>
        <v>724766.66311191698</v>
      </c>
      <c r="O21" s="652">
        <v>28.74844976</v>
      </c>
    </row>
    <row r="22" spans="1:15" ht="28.5" customHeight="1" thickBot="1" x14ac:dyDescent="0.25">
      <c r="A22" s="360"/>
      <c r="B22" s="360"/>
      <c r="C22" s="361"/>
      <c r="D22" s="362"/>
      <c r="E22" s="363"/>
      <c r="F22" s="363"/>
      <c r="G22" s="364"/>
      <c r="H22" s="364"/>
      <c r="I22" s="384"/>
      <c r="J22" s="575"/>
      <c r="K22" s="370"/>
      <c r="L22" s="370"/>
      <c r="M22" s="370"/>
      <c r="N22" s="370"/>
      <c r="O22" s="653">
        <v>304.13987180999999</v>
      </c>
    </row>
    <row r="23" spans="1:15" ht="36.75" customHeight="1" thickBot="1" x14ac:dyDescent="0.25">
      <c r="A23" s="366"/>
      <c r="B23" s="1128" t="s">
        <v>88</v>
      </c>
      <c r="C23" s="1129"/>
      <c r="D23" s="1130"/>
      <c r="E23" s="1188">
        <v>143945</v>
      </c>
      <c r="F23" s="1189"/>
      <c r="G23" s="366"/>
      <c r="H23" s="366"/>
      <c r="I23" s="1150" t="s">
        <v>210</v>
      </c>
      <c r="J23" s="1197"/>
      <c r="K23" s="1151"/>
      <c r="L23" s="417">
        <f>+I21-M21</f>
        <v>22926.562100001611</v>
      </c>
      <c r="M23" s="368">
        <f>+(L23/I21)*100%</f>
        <v>5.3275410806427302E-3</v>
      </c>
    </row>
    <row r="24" spans="1:15" ht="21" thickBot="1" x14ac:dyDescent="0.25">
      <c r="A24" s="366"/>
      <c r="B24" s="1128" t="s">
        <v>89</v>
      </c>
      <c r="C24" s="1129"/>
      <c r="D24" s="1130"/>
      <c r="E24" s="1131">
        <f>M21/E23/1000</f>
        <v>2.9736896261697173E-2</v>
      </c>
      <c r="F24" s="1132"/>
      <c r="G24" s="366"/>
      <c r="H24" s="366"/>
      <c r="I24" s="1133" t="s">
        <v>90</v>
      </c>
      <c r="J24" s="1201"/>
      <c r="K24" s="1134"/>
      <c r="L24" s="1181">
        <f>+K21+L21</f>
        <v>304139.87180999998</v>
      </c>
      <c r="M24" s="1182"/>
    </row>
    <row r="25" spans="1:15" s="19" customFormat="1" ht="18.75" thickBot="1" x14ac:dyDescent="0.3">
      <c r="A25" s="366"/>
      <c r="B25" s="1137" t="s">
        <v>209</v>
      </c>
      <c r="C25" s="1138"/>
      <c r="D25" s="1139"/>
      <c r="E25" s="1185">
        <f>+M21/G25</f>
        <v>401402.6456225735</v>
      </c>
      <c r="F25" s="1186"/>
      <c r="G25" s="1158">
        <v>10.6638</v>
      </c>
      <c r="H25" s="1159"/>
      <c r="I25" s="1135"/>
      <c r="J25" s="1202"/>
      <c r="K25" s="1136"/>
      <c r="L25" s="1183"/>
      <c r="M25" s="1184"/>
      <c r="N25" s="557"/>
    </row>
    <row r="26" spans="1:15" s="19" customFormat="1" ht="24.75" customHeight="1" x14ac:dyDescent="0.25">
      <c r="A26" s="365"/>
      <c r="B26" s="3"/>
      <c r="C26" s="557"/>
      <c r="D26" s="123"/>
      <c r="E26" s="557"/>
      <c r="F26" s="557"/>
      <c r="G26" s="1172" t="s">
        <v>165</v>
      </c>
      <c r="H26" s="1172"/>
      <c r="I26" s="157"/>
      <c r="J26" s="157"/>
      <c r="K26" s="157"/>
      <c r="L26" s="157"/>
      <c r="M26" s="157"/>
      <c r="N26" s="557"/>
    </row>
    <row r="27" spans="1:15" s="19" customFormat="1" ht="24.75" customHeight="1" thickBot="1" x14ac:dyDescent="0.3">
      <c r="A27" s="366"/>
      <c r="B27" s="3"/>
      <c r="C27" s="557"/>
      <c r="D27" s="123"/>
      <c r="E27" s="557"/>
      <c r="F27" s="557"/>
      <c r="G27" s="557"/>
      <c r="H27" s="557"/>
      <c r="I27" s="157"/>
      <c r="J27" s="157"/>
      <c r="K27" s="157"/>
      <c r="L27" s="157"/>
      <c r="M27" s="157"/>
      <c r="N27" s="157"/>
    </row>
    <row r="28" spans="1:15" s="19" customFormat="1" ht="15" customHeight="1" x14ac:dyDescent="0.25">
      <c r="A28" s="557"/>
      <c r="B28" s="3"/>
      <c r="C28" s="3"/>
      <c r="D28" s="3"/>
      <c r="E28" s="3"/>
      <c r="G28" s="1166" t="s">
        <v>116</v>
      </c>
      <c r="H28" s="1167"/>
      <c r="I28" s="1168"/>
      <c r="J28" s="573"/>
      <c r="K28" s="320"/>
      <c r="L28" s="320"/>
      <c r="M28" s="320"/>
      <c r="N28" s="157"/>
    </row>
    <row r="29" spans="1:15" s="19" customFormat="1" ht="21" customHeight="1" thickBot="1" x14ac:dyDescent="0.3">
      <c r="A29" s="557"/>
      <c r="B29" s="3"/>
      <c r="C29" s="169"/>
      <c r="D29" s="557"/>
      <c r="E29" s="557"/>
      <c r="G29" s="1169"/>
      <c r="H29" s="1170"/>
      <c r="I29" s="1171"/>
      <c r="J29" s="573"/>
      <c r="K29" s="157"/>
      <c r="L29" s="318">
        <f>+K28+L28</f>
        <v>0</v>
      </c>
      <c r="M29" s="318"/>
      <c r="N29" s="324">
        <v>7663.6935299999996</v>
      </c>
    </row>
    <row r="30" spans="1:15" s="19" customFormat="1" ht="21" thickBot="1" x14ac:dyDescent="0.3">
      <c r="A30" s="557"/>
      <c r="B30" s="3"/>
      <c r="C30" s="557"/>
      <c r="D30" s="557"/>
      <c r="E30" s="557"/>
      <c r="G30" s="1179">
        <v>501220</v>
      </c>
      <c r="H30" s="1180"/>
      <c r="I30" s="563">
        <v>180820</v>
      </c>
      <c r="J30" s="576"/>
      <c r="K30" s="157"/>
      <c r="L30" s="157"/>
      <c r="M30" s="157"/>
      <c r="N30" s="325">
        <f>+L5</f>
        <v>20190.256519999999</v>
      </c>
    </row>
    <row r="31" spans="1:15" s="19" customFormat="1" ht="21" thickBot="1" x14ac:dyDescent="0.3">
      <c r="A31" s="557"/>
      <c r="B31" s="3"/>
      <c r="C31" s="557"/>
      <c r="D31" s="557"/>
      <c r="E31" s="557"/>
      <c r="G31" s="1152">
        <v>426400</v>
      </c>
      <c r="H31" s="1153"/>
      <c r="I31" s="562">
        <v>106000</v>
      </c>
      <c r="J31" s="577"/>
      <c r="K31" s="157"/>
      <c r="L31" s="157"/>
      <c r="M31" s="157"/>
      <c r="N31" s="325">
        <f>+L6</f>
        <v>7663.6935199999998</v>
      </c>
    </row>
    <row r="32" spans="1:15" s="19" customFormat="1" ht="21" thickBot="1" x14ac:dyDescent="0.3">
      <c r="A32" s="557"/>
      <c r="B32" s="3"/>
      <c r="C32" s="557"/>
      <c r="D32" s="557"/>
      <c r="E32" s="557"/>
      <c r="G32" s="1152">
        <v>74820</v>
      </c>
      <c r="H32" s="1153"/>
      <c r="I32" s="562">
        <v>74820</v>
      </c>
      <c r="J32" s="577"/>
      <c r="K32" s="157"/>
      <c r="L32" s="157"/>
      <c r="M32" s="157"/>
      <c r="N32" s="325">
        <v>7663.6935199999998</v>
      </c>
    </row>
    <row r="33" spans="1:15" s="19" customFormat="1" ht="21" thickBot="1" x14ac:dyDescent="0.3">
      <c r="A33" s="557"/>
      <c r="B33" s="3"/>
      <c r="C33" s="557"/>
      <c r="D33" s="557"/>
      <c r="E33" s="557"/>
      <c r="G33" s="1154">
        <f>+G30-L29</f>
        <v>501220</v>
      </c>
      <c r="H33" s="1155"/>
      <c r="I33" s="552">
        <f>+I30-N33</f>
        <v>137638.66291000001</v>
      </c>
      <c r="J33" s="578"/>
      <c r="K33" s="320"/>
      <c r="L33" s="157"/>
      <c r="M33" s="157"/>
      <c r="N33" s="324">
        <f>+N29+N30+N31+N32</f>
        <v>43181.337090000001</v>
      </c>
    </row>
    <row r="37" spans="1:15" ht="44.25" customHeight="1" x14ac:dyDescent="0.2">
      <c r="A37" s="1143" t="s">
        <v>202</v>
      </c>
      <c r="B37" s="1143"/>
      <c r="C37" s="1143"/>
      <c r="D37" s="1143"/>
      <c r="E37" s="1143"/>
      <c r="F37" s="1143"/>
      <c r="G37" s="1143"/>
      <c r="H37" s="1143"/>
      <c r="I37" s="1143"/>
      <c r="J37" s="1143"/>
      <c r="K37" s="1143"/>
      <c r="L37" s="1143"/>
      <c r="M37" s="1143"/>
      <c r="N37" s="1143"/>
    </row>
    <row r="38" spans="1:15" ht="16.5" thickBot="1" x14ac:dyDescent="0.25">
      <c r="A38" s="1144" t="s">
        <v>91</v>
      </c>
      <c r="B38" s="1144"/>
      <c r="C38" s="1144"/>
      <c r="D38" s="1144"/>
      <c r="E38" s="1144"/>
      <c r="F38" s="1144"/>
      <c r="G38" s="1144"/>
      <c r="H38" s="1144"/>
      <c r="I38" s="1144"/>
      <c r="J38" s="1144"/>
      <c r="K38" s="1144"/>
      <c r="L38" s="1144"/>
      <c r="M38" s="1144"/>
      <c r="N38" s="1144"/>
    </row>
    <row r="39" spans="1:15" ht="63.75" thickBot="1" x14ac:dyDescent="0.25">
      <c r="A39" s="588" t="s">
        <v>15</v>
      </c>
      <c r="B39" s="580" t="s">
        <v>0</v>
      </c>
      <c r="C39" s="581" t="s">
        <v>1</v>
      </c>
      <c r="D39" s="581" t="s">
        <v>2</v>
      </c>
      <c r="E39" s="581" t="s">
        <v>3</v>
      </c>
      <c r="F39" s="581" t="s">
        <v>4</v>
      </c>
      <c r="G39" s="1199" t="s">
        <v>18</v>
      </c>
      <c r="H39" s="1200"/>
      <c r="I39" s="581" t="s">
        <v>199</v>
      </c>
      <c r="J39" s="581" t="s">
        <v>198</v>
      </c>
      <c r="K39" s="581" t="s">
        <v>99</v>
      </c>
      <c r="L39" s="581" t="s">
        <v>147</v>
      </c>
      <c r="M39" s="591" t="s">
        <v>188</v>
      </c>
      <c r="N39" s="579" t="s">
        <v>201</v>
      </c>
    </row>
    <row r="40" spans="1:15" ht="47.25" x14ac:dyDescent="0.2">
      <c r="A40" s="534">
        <v>1</v>
      </c>
      <c r="B40" s="535" t="s">
        <v>5</v>
      </c>
      <c r="C40" s="536" t="s">
        <v>127</v>
      </c>
      <c r="D40" s="537">
        <f>500000000/1000</f>
        <v>500000</v>
      </c>
      <c r="E40" s="536">
        <v>2012</v>
      </c>
      <c r="F40" s="536" t="s">
        <v>129</v>
      </c>
      <c r="G40" s="1160" t="s">
        <v>7</v>
      </c>
      <c r="H40" s="1161"/>
      <c r="I40" s="538">
        <v>477027.92060000001</v>
      </c>
      <c r="J40" s="538">
        <v>426905.02931575099</v>
      </c>
      <c r="K40" s="594">
        <v>1000</v>
      </c>
      <c r="L40" s="539">
        <v>0</v>
      </c>
      <c r="M40" s="538">
        <f t="shared" ref="M40:M45" si="3">+I40-K40</f>
        <v>476027.92060000001</v>
      </c>
      <c r="N40" s="593">
        <v>444629.12691181601</v>
      </c>
    </row>
    <row r="41" spans="1:15" ht="47.25" x14ac:dyDescent="0.2">
      <c r="A41" s="235">
        <v>2</v>
      </c>
      <c r="B41" s="236" t="s">
        <v>125</v>
      </c>
      <c r="C41" s="237" t="s">
        <v>137</v>
      </c>
      <c r="D41" s="129">
        <v>2250000</v>
      </c>
      <c r="E41" s="237">
        <v>2016</v>
      </c>
      <c r="F41" s="237" t="s">
        <v>130</v>
      </c>
      <c r="G41" s="1156">
        <v>0.02</v>
      </c>
      <c r="H41" s="1157"/>
      <c r="I41" s="413">
        <v>2012961.9251400002</v>
      </c>
      <c r="J41" s="574">
        <v>148255.9123541</v>
      </c>
      <c r="K41" s="596">
        <f>23862.55+112739.1</f>
        <v>136601.65</v>
      </c>
      <c r="L41" s="416">
        <v>7663.6935199999998</v>
      </c>
      <c r="M41" s="416">
        <f t="shared" si="3"/>
        <v>1876360.2751400003</v>
      </c>
      <c r="N41" s="592">
        <v>159192.15836225901</v>
      </c>
    </row>
    <row r="42" spans="1:15" ht="31.5" x14ac:dyDescent="0.2">
      <c r="A42" s="235">
        <v>3</v>
      </c>
      <c r="B42" s="236" t="s">
        <v>126</v>
      </c>
      <c r="C42" s="237" t="s">
        <v>137</v>
      </c>
      <c r="D42" s="129">
        <v>1070000</v>
      </c>
      <c r="E42" s="237">
        <v>2016</v>
      </c>
      <c r="F42" s="237" t="s">
        <v>130</v>
      </c>
      <c r="G42" s="1156">
        <v>0.02</v>
      </c>
      <c r="H42" s="1157"/>
      <c r="I42" s="413">
        <v>822540.31874999998</v>
      </c>
      <c r="J42" s="574">
        <v>115775.78858875899</v>
      </c>
      <c r="K42" s="596">
        <f>16635.86</f>
        <v>16635.86</v>
      </c>
      <c r="L42" s="416">
        <v>7663.6935199999998</v>
      </c>
      <c r="M42" s="416">
        <f t="shared" si="3"/>
        <v>805904.45874999999</v>
      </c>
      <c r="N42" s="592">
        <v>115681.311171564</v>
      </c>
    </row>
    <row r="43" spans="1:15" ht="31.5" x14ac:dyDescent="0.2">
      <c r="A43" s="235">
        <v>4</v>
      </c>
      <c r="B43" s="236" t="s">
        <v>19</v>
      </c>
      <c r="C43" s="237" t="s">
        <v>138</v>
      </c>
      <c r="D43" s="129">
        <f>200000000/1000</f>
        <v>200000</v>
      </c>
      <c r="E43" s="237">
        <v>2012</v>
      </c>
      <c r="F43" s="237" t="s">
        <v>131</v>
      </c>
      <c r="G43" s="1162" t="s">
        <v>12</v>
      </c>
      <c r="H43" s="1163"/>
      <c r="I43" s="355">
        <v>200000</v>
      </c>
      <c r="J43" s="323">
        <v>0</v>
      </c>
      <c r="K43" s="323">
        <v>0</v>
      </c>
      <c r="L43" s="323">
        <v>0</v>
      </c>
      <c r="M43" s="413">
        <f t="shared" si="3"/>
        <v>200000</v>
      </c>
      <c r="N43" s="357">
        <f>+J43-L43</f>
        <v>0</v>
      </c>
    </row>
    <row r="44" spans="1:15" ht="31.5" x14ac:dyDescent="0.2">
      <c r="A44" s="235">
        <v>5</v>
      </c>
      <c r="B44" s="239" t="s">
        <v>9</v>
      </c>
      <c r="C44" s="240" t="s">
        <v>140</v>
      </c>
      <c r="D44" s="130">
        <v>300000</v>
      </c>
      <c r="E44" s="131">
        <v>2009</v>
      </c>
      <c r="F44" s="131" t="s">
        <v>11</v>
      </c>
      <c r="G44" s="1164" t="s">
        <v>87</v>
      </c>
      <c r="H44" s="1165"/>
      <c r="I44" s="414">
        <v>49873.93</v>
      </c>
      <c r="J44" s="414">
        <v>126.07</v>
      </c>
      <c r="K44" s="413">
        <v>49873.93</v>
      </c>
      <c r="L44" s="354">
        <v>126.07</v>
      </c>
      <c r="M44" s="354">
        <f t="shared" si="3"/>
        <v>0</v>
      </c>
      <c r="N44" s="357">
        <f>+J44-L44</f>
        <v>0</v>
      </c>
    </row>
    <row r="45" spans="1:15" ht="47.25" x14ac:dyDescent="0.2">
      <c r="A45" s="235">
        <v>6</v>
      </c>
      <c r="B45" s="239" t="s">
        <v>170</v>
      </c>
      <c r="C45" s="240" t="s">
        <v>14</v>
      </c>
      <c r="D45" s="130">
        <v>1165000</v>
      </c>
      <c r="E45" s="131">
        <v>2019</v>
      </c>
      <c r="F45" s="131" t="s">
        <v>96</v>
      </c>
      <c r="G45" s="1156">
        <v>0.02</v>
      </c>
      <c r="H45" s="1157"/>
      <c r="I45" s="414">
        <v>741000</v>
      </c>
      <c r="J45" s="413">
        <v>168.42972</v>
      </c>
      <c r="K45" s="595">
        <f>35000+36000</f>
        <v>71000</v>
      </c>
      <c r="L45" s="413">
        <v>168.42972</v>
      </c>
      <c r="M45" s="413">
        <f t="shared" si="3"/>
        <v>670000</v>
      </c>
      <c r="N45" s="357">
        <f>+J45-L45</f>
        <v>0</v>
      </c>
    </row>
    <row r="46" spans="1:15" ht="21" thickBot="1" x14ac:dyDescent="0.25">
      <c r="A46" s="1190" t="s">
        <v>23</v>
      </c>
      <c r="B46" s="1191"/>
      <c r="C46" s="1191"/>
      <c r="D46" s="541">
        <f>+SUM(D40:D45)</f>
        <v>5485000</v>
      </c>
      <c r="E46" s="545"/>
      <c r="F46" s="546"/>
      <c r="G46" s="546"/>
      <c r="H46" s="547"/>
      <c r="I46" s="541">
        <f t="shared" ref="I46:N46" si="4">+SUM(I40:I45)</f>
        <v>4303404.094490001</v>
      </c>
      <c r="J46" s="541">
        <f t="shared" si="4"/>
        <v>691231.22997860995</v>
      </c>
      <c r="K46" s="541">
        <f t="shared" si="4"/>
        <v>275111.44</v>
      </c>
      <c r="L46" s="541">
        <f t="shared" si="4"/>
        <v>15621.886759999999</v>
      </c>
      <c r="M46" s="541">
        <f t="shared" si="4"/>
        <v>4028292.6544900006</v>
      </c>
      <c r="N46" s="590">
        <f t="shared" si="4"/>
        <v>719502.59644563904</v>
      </c>
      <c r="O46" s="557">
        <f>141-36</f>
        <v>105</v>
      </c>
    </row>
    <row r="48" spans="1:15" ht="18.75" thickBot="1" x14ac:dyDescent="0.25">
      <c r="L48" s="153">
        <f>+M46-M48</f>
        <v>7292.6544900005683</v>
      </c>
      <c r="M48" s="541">
        <v>4021000</v>
      </c>
    </row>
  </sheetData>
  <sheetProtection algorithmName="SHA-512" hashValue="jmW24Lvpupbl7my1yhRM6OrBii1b1XuJ24HVENgwEtQXwIHoxvdZxij1WN3W1U8MhqV8/ADQRIHHvcgRP1wcZQ==" saltValue="N+9euVhi2d5TJPf3bxvqDw==" spinCount="100000" sheet="1" formatCells="0" formatColumns="0" formatRows="0" insertColumns="0" insertRows="0" insertHyperlinks="0" deleteColumns="0" deleteRows="0" sort="0" autoFilter="0" pivotTables="0"/>
  <mergeCells count="41">
    <mergeCell ref="G42:H42"/>
    <mergeCell ref="G43:H43"/>
    <mergeCell ref="G44:H44"/>
    <mergeCell ref="G45:H45"/>
    <mergeCell ref="A46:C46"/>
    <mergeCell ref="A37:N37"/>
    <mergeCell ref="A38:N38"/>
    <mergeCell ref="G39:H39"/>
    <mergeCell ref="G40:H40"/>
    <mergeCell ref="G41:H41"/>
    <mergeCell ref="L24:M25"/>
    <mergeCell ref="B24:D24"/>
    <mergeCell ref="E24:F24"/>
    <mergeCell ref="I24:K25"/>
    <mergeCell ref="G7:H7"/>
    <mergeCell ref="G8:H8"/>
    <mergeCell ref="G9:H9"/>
    <mergeCell ref="A10:C10"/>
    <mergeCell ref="A20:C20"/>
    <mergeCell ref="G6:H6"/>
    <mergeCell ref="A1:N1"/>
    <mergeCell ref="A2:N2"/>
    <mergeCell ref="G3:H3"/>
    <mergeCell ref="G4:H4"/>
    <mergeCell ref="G5:H5"/>
    <mergeCell ref="N12:N18"/>
    <mergeCell ref="I23:K23"/>
    <mergeCell ref="B25:D25"/>
    <mergeCell ref="G32:H32"/>
    <mergeCell ref="G33:H33"/>
    <mergeCell ref="G25:H25"/>
    <mergeCell ref="G26:H26"/>
    <mergeCell ref="G28:I29"/>
    <mergeCell ref="G30:H30"/>
    <mergeCell ref="G31:H31"/>
    <mergeCell ref="E20:H20"/>
    <mergeCell ref="A21:C21"/>
    <mergeCell ref="E21:H21"/>
    <mergeCell ref="B23:D23"/>
    <mergeCell ref="E23:F23"/>
    <mergeCell ref="E25:F25"/>
  </mergeCells>
  <pageMargins left="0.15748031496062992" right="0.15748031496062992" top="0.74803149606299213" bottom="0.19685039370078741" header="0.19685039370078741" footer="0.19685039370078741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/>
  <dimension ref="A1:G28"/>
  <sheetViews>
    <sheetView topLeftCell="A7" zoomScale="80" zoomScaleNormal="80" zoomScaleSheetLayoutView="100" workbookViewId="0">
      <selection activeCell="D21" sqref="D21"/>
    </sheetView>
  </sheetViews>
  <sheetFormatPr defaultColWidth="8.85546875" defaultRowHeight="14.25" x14ac:dyDescent="0.2"/>
  <cols>
    <col min="1" max="1" width="4.7109375" style="557" customWidth="1"/>
    <col min="2" max="2" width="57.85546875" style="13" customWidth="1"/>
    <col min="3" max="3" width="26.28515625" style="557" customWidth="1"/>
    <col min="4" max="4" width="24.140625" style="127" customWidth="1"/>
    <col min="5" max="5" width="25.140625" style="557" customWidth="1"/>
    <col min="6" max="6" width="24" style="557" customWidth="1"/>
    <col min="7" max="7" width="27.28515625" style="557" customWidth="1"/>
    <col min="8" max="16384" width="8.85546875" style="557"/>
  </cols>
  <sheetData>
    <row r="1" spans="1:6" ht="72" customHeight="1" x14ac:dyDescent="0.2">
      <c r="A1" s="1205" t="s">
        <v>213</v>
      </c>
      <c r="B1" s="1206"/>
      <c r="C1" s="1206"/>
      <c r="D1" s="1206"/>
      <c r="E1" s="1206"/>
    </row>
    <row r="2" spans="1:6" ht="22.5" customHeight="1" thickBot="1" x14ac:dyDescent="0.25">
      <c r="A2" s="1207" t="s">
        <v>33</v>
      </c>
      <c r="B2" s="1208"/>
      <c r="C2" s="1208"/>
      <c r="D2" s="1208"/>
      <c r="E2" s="1208"/>
    </row>
    <row r="3" spans="1:6" ht="27.75" customHeight="1" x14ac:dyDescent="0.2">
      <c r="A3" s="1209" t="s">
        <v>15</v>
      </c>
      <c r="B3" s="1211" t="s">
        <v>34</v>
      </c>
      <c r="C3" s="1213" t="s">
        <v>119</v>
      </c>
      <c r="D3" s="1215" t="s">
        <v>35</v>
      </c>
      <c r="E3" s="1217" t="s">
        <v>214</v>
      </c>
    </row>
    <row r="4" spans="1:6" ht="30.75" customHeight="1" thickBot="1" x14ac:dyDescent="0.25">
      <c r="A4" s="1210"/>
      <c r="B4" s="1212"/>
      <c r="C4" s="1214"/>
      <c r="D4" s="1216"/>
      <c r="E4" s="1218"/>
    </row>
    <row r="5" spans="1:6" ht="43.5" customHeight="1" thickBot="1" x14ac:dyDescent="0.25">
      <c r="A5" s="143">
        <v>1</v>
      </c>
      <c r="B5" s="146" t="s">
        <v>39</v>
      </c>
      <c r="C5" s="327">
        <v>477027.92060000001</v>
      </c>
      <c r="D5" s="147" t="s">
        <v>21</v>
      </c>
      <c r="E5" s="246">
        <f>+'01.07.24'!M4</f>
        <v>476027.92060000001</v>
      </c>
      <c r="F5" s="153"/>
    </row>
    <row r="6" spans="1:6" ht="42.75" customHeight="1" thickBot="1" x14ac:dyDescent="0.25">
      <c r="A6" s="110">
        <v>2</v>
      </c>
      <c r="B6" s="144" t="s">
        <v>36</v>
      </c>
      <c r="C6" s="328">
        <v>2012961.9251400002</v>
      </c>
      <c r="D6" s="125" t="s">
        <v>37</v>
      </c>
      <c r="E6" s="246">
        <f>+'01.07.24'!M5</f>
        <v>1876269.7976100002</v>
      </c>
      <c r="F6" s="153"/>
    </row>
    <row r="7" spans="1:6" ht="45" customHeight="1" thickBot="1" x14ac:dyDescent="0.25">
      <c r="A7" s="143">
        <v>3</v>
      </c>
      <c r="B7" s="158" t="s">
        <v>38</v>
      </c>
      <c r="C7" s="329">
        <v>822540.31874999998</v>
      </c>
      <c r="D7" s="126" t="s">
        <v>22</v>
      </c>
      <c r="E7" s="246">
        <f>+'01.07.24'!M6</f>
        <v>805714.95423000003</v>
      </c>
      <c r="F7" s="153"/>
    </row>
    <row r="8" spans="1:6" ht="40.5" customHeight="1" thickBot="1" x14ac:dyDescent="0.25">
      <c r="A8" s="110">
        <v>4</v>
      </c>
      <c r="B8" s="149" t="s">
        <v>38</v>
      </c>
      <c r="C8" s="330">
        <v>200000</v>
      </c>
      <c r="D8" s="148" t="s">
        <v>40</v>
      </c>
      <c r="E8" s="246">
        <v>200000</v>
      </c>
      <c r="F8" s="153"/>
    </row>
    <row r="9" spans="1:6" ht="45" customHeight="1" thickBot="1" x14ac:dyDescent="0.25">
      <c r="A9" s="143">
        <v>5</v>
      </c>
      <c r="B9" s="144" t="s">
        <v>9</v>
      </c>
      <c r="C9" s="329">
        <v>49873.93</v>
      </c>
      <c r="D9" s="126" t="s">
        <v>11</v>
      </c>
      <c r="E9" s="246">
        <v>0</v>
      </c>
      <c r="F9" s="153"/>
    </row>
    <row r="10" spans="1:6" ht="41.25" customHeight="1" thickBot="1" x14ac:dyDescent="0.25">
      <c r="A10" s="110">
        <v>6</v>
      </c>
      <c r="B10" s="144" t="s">
        <v>56</v>
      </c>
      <c r="C10" s="328">
        <v>741000</v>
      </c>
      <c r="D10" s="145" t="s">
        <v>41</v>
      </c>
      <c r="E10" s="246">
        <f>+'01.07.24'!M9</f>
        <v>670000</v>
      </c>
      <c r="F10" s="153"/>
    </row>
    <row r="11" spans="1:6" ht="29.25" customHeight="1" thickBot="1" x14ac:dyDescent="0.25">
      <c r="A11" s="143">
        <v>7</v>
      </c>
      <c r="B11" s="144" t="s">
        <v>156</v>
      </c>
      <c r="C11" s="330">
        <v>0</v>
      </c>
      <c r="D11" s="145" t="s">
        <v>158</v>
      </c>
      <c r="E11" s="246">
        <v>50000</v>
      </c>
      <c r="F11" s="153"/>
    </row>
    <row r="12" spans="1:6" ht="29.25" customHeight="1" thickBot="1" x14ac:dyDescent="0.25">
      <c r="A12" s="110">
        <v>8</v>
      </c>
      <c r="B12" s="144" t="s">
        <v>159</v>
      </c>
      <c r="C12" s="330">
        <v>0</v>
      </c>
      <c r="D12" s="145" t="s">
        <v>160</v>
      </c>
      <c r="E12" s="246">
        <v>30000</v>
      </c>
      <c r="F12" s="153"/>
    </row>
    <row r="13" spans="1:6" ht="29.25" customHeight="1" thickBot="1" x14ac:dyDescent="0.25">
      <c r="A13" s="143">
        <v>9</v>
      </c>
      <c r="B13" s="144" t="s">
        <v>161</v>
      </c>
      <c r="C13" s="330">
        <v>0</v>
      </c>
      <c r="D13" s="145" t="s">
        <v>162</v>
      </c>
      <c r="E13" s="246">
        <v>20000</v>
      </c>
      <c r="F13" s="153"/>
    </row>
    <row r="14" spans="1:6" ht="29.25" customHeight="1" thickBot="1" x14ac:dyDescent="0.25">
      <c r="A14" s="110">
        <v>10</v>
      </c>
      <c r="B14" s="144" t="s">
        <v>156</v>
      </c>
      <c r="C14" s="330">
        <v>0</v>
      </c>
      <c r="D14" s="145" t="s">
        <v>158</v>
      </c>
      <c r="E14" s="246">
        <v>29150.436089999999</v>
      </c>
      <c r="F14" s="153"/>
    </row>
    <row r="15" spans="1:6" ht="25.5" customHeight="1" thickBot="1" x14ac:dyDescent="0.25">
      <c r="A15" s="110">
        <v>11</v>
      </c>
      <c r="B15" s="144" t="s">
        <v>156</v>
      </c>
      <c r="C15" s="330">
        <v>0</v>
      </c>
      <c r="D15" s="145" t="s">
        <v>158</v>
      </c>
      <c r="E15" s="246">
        <v>48631.515379999997</v>
      </c>
      <c r="F15" s="153"/>
    </row>
    <row r="16" spans="1:6" ht="29.25" customHeight="1" thickBot="1" x14ac:dyDescent="0.25">
      <c r="A16" s="110">
        <v>12</v>
      </c>
      <c r="B16" s="144" t="s">
        <v>156</v>
      </c>
      <c r="C16" s="330">
        <v>0</v>
      </c>
      <c r="D16" s="145" t="s">
        <v>158</v>
      </c>
      <c r="E16" s="246">
        <v>48370.777249999999</v>
      </c>
      <c r="F16" s="153"/>
    </row>
    <row r="17" spans="1:7" ht="29.25" customHeight="1" thickBot="1" x14ac:dyDescent="0.25">
      <c r="A17" s="110">
        <v>13</v>
      </c>
      <c r="B17" s="144" t="s">
        <v>156</v>
      </c>
      <c r="C17" s="330">
        <v>0</v>
      </c>
      <c r="D17" s="145" t="s">
        <v>158</v>
      </c>
      <c r="E17" s="246">
        <v>26312.131229999999</v>
      </c>
      <c r="F17" s="153"/>
    </row>
    <row r="18" spans="1:7" ht="40.5" customHeight="1" thickBot="1" x14ac:dyDescent="0.25">
      <c r="A18" s="1219" t="s">
        <v>61</v>
      </c>
      <c r="B18" s="1220"/>
      <c r="C18" s="229">
        <f>SUM(C5:C15)</f>
        <v>4303404.094490001</v>
      </c>
      <c r="D18" s="229">
        <f>SUM(D6:D9)</f>
        <v>0</v>
      </c>
      <c r="E18" s="230">
        <f>SUM(E5:E17)</f>
        <v>4280477.5323900003</v>
      </c>
      <c r="F18" s="230">
        <f>+'01.07.24'!M21</f>
        <v>4280477.5323899994</v>
      </c>
      <c r="G18" s="230">
        <f>+E18-F18</f>
        <v>0</v>
      </c>
    </row>
    <row r="19" spans="1:7" ht="40.5" customHeight="1" x14ac:dyDescent="0.2">
      <c r="A19" s="242"/>
      <c r="B19" s="243"/>
      <c r="C19" s="244"/>
      <c r="D19" s="244"/>
      <c r="E19" s="244"/>
    </row>
    <row r="20" spans="1:7" ht="26.25" customHeight="1" x14ac:dyDescent="0.2">
      <c r="A20" s="1221" t="s">
        <v>62</v>
      </c>
      <c r="B20" s="1222"/>
      <c r="C20" s="142">
        <v>45291</v>
      </c>
      <c r="D20" s="660" t="s">
        <v>212</v>
      </c>
      <c r="E20" s="150" t="s">
        <v>63</v>
      </c>
    </row>
    <row r="21" spans="1:7" ht="18" x14ac:dyDescent="0.2">
      <c r="A21" s="1223" t="s">
        <v>42</v>
      </c>
      <c r="B21" s="1224"/>
      <c r="C21" s="377">
        <v>130791.5</v>
      </c>
      <c r="D21" s="383">
        <v>143945</v>
      </c>
      <c r="E21" s="379">
        <f>D21-C21</f>
        <v>13153.5</v>
      </c>
    </row>
    <row r="22" spans="1:7" ht="18" x14ac:dyDescent="0.2">
      <c r="A22" s="1223" t="s">
        <v>43</v>
      </c>
      <c r="B22" s="1224"/>
      <c r="C22" s="382">
        <f>+C21/C24</f>
        <v>12060.629812347273</v>
      </c>
      <c r="D22" s="382">
        <f>+D21/D24</f>
        <v>13498.471464206004</v>
      </c>
      <c r="E22" s="379">
        <f>D22-C22</f>
        <v>1437.841651858731</v>
      </c>
    </row>
    <row r="23" spans="1:7" s="16" customFormat="1" ht="18" x14ac:dyDescent="0.25">
      <c r="A23" s="1225" t="s">
        <v>44</v>
      </c>
      <c r="B23" s="1226"/>
      <c r="C23" s="374">
        <f>+C18/C21/1000</f>
        <v>3.2902781101906475E-2</v>
      </c>
      <c r="D23" s="374">
        <f>+E18/D21/1000</f>
        <v>2.973689626169718E-2</v>
      </c>
      <c r="E23" s="376">
        <f>D23-C23</f>
        <v>-3.1658848402092953E-3</v>
      </c>
    </row>
    <row r="24" spans="1:7" ht="22.5" customHeight="1" x14ac:dyDescent="0.2">
      <c r="A24" s="1203" t="s">
        <v>60</v>
      </c>
      <c r="B24" s="1204"/>
      <c r="C24" s="375">
        <v>10.8445</v>
      </c>
      <c r="D24" s="418">
        <v>10.6638</v>
      </c>
      <c r="E24" s="124">
        <f>+D24-C24</f>
        <v>-0.18069999999999986</v>
      </c>
    </row>
    <row r="25" spans="1:7" ht="27" customHeight="1" thickBot="1" x14ac:dyDescent="0.25">
      <c r="A25" s="120" t="s">
        <v>64</v>
      </c>
      <c r="B25" s="121"/>
      <c r="C25" s="378">
        <f>C18/C24*100%</f>
        <v>396828.2626667897</v>
      </c>
      <c r="D25" s="380">
        <f>E18/D24*100%</f>
        <v>401402.64562257356</v>
      </c>
      <c r="E25" s="381">
        <f>+D25-C25</f>
        <v>4574.3829557838617</v>
      </c>
    </row>
    <row r="26" spans="1:7" ht="18" x14ac:dyDescent="0.2">
      <c r="B26" s="17"/>
      <c r="D26" s="128"/>
    </row>
    <row r="28" spans="1:7" ht="18" x14ac:dyDescent="0.2">
      <c r="B28" s="18"/>
      <c r="C28" s="18"/>
      <c r="D28" s="128"/>
      <c r="E28" s="18"/>
    </row>
  </sheetData>
  <mergeCells count="13">
    <mergeCell ref="A24:B24"/>
    <mergeCell ref="A1:E1"/>
    <mergeCell ref="A2:E2"/>
    <mergeCell ref="A3:A4"/>
    <mergeCell ref="B3:B4"/>
    <mergeCell ref="C3:C4"/>
    <mergeCell ref="D3:D4"/>
    <mergeCell ref="E3:E4"/>
    <mergeCell ref="A18:B18"/>
    <mergeCell ref="A20:B20"/>
    <mergeCell ref="A21:B21"/>
    <mergeCell ref="A22:B22"/>
    <mergeCell ref="A23:B23"/>
  </mergeCells>
  <pageMargins left="0.86" right="0.19685039370078741" top="0.69" bottom="0.19685039370078741" header="0.39370078740157483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rgb="FF7030A0"/>
  </sheetPr>
  <dimension ref="A1:M32"/>
  <sheetViews>
    <sheetView topLeftCell="A10" zoomScaleNormal="100" zoomScaleSheetLayoutView="85" zoomScalePageLayoutView="60" workbookViewId="0">
      <selection activeCell="K21" sqref="K21"/>
    </sheetView>
  </sheetViews>
  <sheetFormatPr defaultRowHeight="14.25" x14ac:dyDescent="0.2"/>
  <cols>
    <col min="1" max="1" width="6.140625" style="2" customWidth="1"/>
    <col min="2" max="2" width="41.7109375" style="3" customWidth="1"/>
    <col min="3" max="3" width="21.42578125" style="2" customWidth="1"/>
    <col min="4" max="4" width="22.140625" style="2" customWidth="1"/>
    <col min="5" max="5" width="12.28515625" style="2" customWidth="1"/>
    <col min="6" max="6" width="11.85546875" style="2" customWidth="1"/>
    <col min="7" max="7" width="10.5703125" style="2" customWidth="1"/>
    <col min="8" max="8" width="14.85546875" style="2" customWidth="1"/>
    <col min="9" max="9" width="23.28515625" style="2" customWidth="1"/>
    <col min="10" max="10" width="20" style="2" customWidth="1"/>
    <col min="11" max="11" width="20.28515625" style="2" customWidth="1"/>
    <col min="12" max="12" width="22.5703125" style="2" customWidth="1"/>
    <col min="13" max="13" width="15.28515625" style="2" customWidth="1"/>
    <col min="14" max="16384" width="9.140625" style="2"/>
  </cols>
  <sheetData>
    <row r="1" spans="1:12" s="122" customFormat="1" ht="33" customHeight="1" x14ac:dyDescent="0.25">
      <c r="A1" s="1143" t="s">
        <v>186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</row>
    <row r="2" spans="1:12" ht="21.75" customHeight="1" x14ac:dyDescent="0.2">
      <c r="A2" s="1144" t="s">
        <v>91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</row>
    <row r="3" spans="1:12" s="409" customFormat="1" ht="51" customHeight="1" thickBot="1" x14ac:dyDescent="0.3">
      <c r="A3" s="533" t="s">
        <v>15</v>
      </c>
      <c r="B3" s="533" t="s">
        <v>0</v>
      </c>
      <c r="C3" s="533" t="s">
        <v>1</v>
      </c>
      <c r="D3" s="533" t="s">
        <v>2</v>
      </c>
      <c r="E3" s="533" t="s">
        <v>3</v>
      </c>
      <c r="F3" s="533" t="s">
        <v>4</v>
      </c>
      <c r="G3" s="1192" t="s">
        <v>18</v>
      </c>
      <c r="H3" s="1193"/>
      <c r="I3" s="533" t="s">
        <v>135</v>
      </c>
      <c r="J3" s="533" t="s">
        <v>99</v>
      </c>
      <c r="K3" s="533" t="s">
        <v>147</v>
      </c>
      <c r="L3" s="533" t="s">
        <v>187</v>
      </c>
    </row>
    <row r="4" spans="1:12" ht="51.75" customHeight="1" x14ac:dyDescent="0.2">
      <c r="A4" s="534">
        <v>1</v>
      </c>
      <c r="B4" s="535" t="s">
        <v>5</v>
      </c>
      <c r="C4" s="536" t="s">
        <v>127</v>
      </c>
      <c r="D4" s="537">
        <f>500000000/1000</f>
        <v>500000</v>
      </c>
      <c r="E4" s="536">
        <v>2012</v>
      </c>
      <c r="F4" s="536" t="s">
        <v>129</v>
      </c>
      <c r="G4" s="1160" t="s">
        <v>7</v>
      </c>
      <c r="H4" s="1161"/>
      <c r="I4" s="538">
        <v>477027.92060000001</v>
      </c>
      <c r="J4" s="539">
        <v>0</v>
      </c>
      <c r="K4" s="539">
        <v>0</v>
      </c>
      <c r="L4" s="540">
        <f>+I4-J4</f>
        <v>477027.92060000001</v>
      </c>
    </row>
    <row r="5" spans="1:12" ht="47.25" customHeight="1" x14ac:dyDescent="0.2">
      <c r="A5" s="235">
        <v>2</v>
      </c>
      <c r="B5" s="236" t="s">
        <v>125</v>
      </c>
      <c r="C5" s="237" t="s">
        <v>137</v>
      </c>
      <c r="D5" s="129">
        <v>2250000</v>
      </c>
      <c r="E5" s="237">
        <v>2016</v>
      </c>
      <c r="F5" s="237" t="s">
        <v>130</v>
      </c>
      <c r="G5" s="1156">
        <v>0.02</v>
      </c>
      <c r="H5" s="1157"/>
      <c r="I5" s="413">
        <v>2012961.9251400002</v>
      </c>
      <c r="J5" s="561">
        <v>20349.54653</v>
      </c>
      <c r="K5" s="416">
        <v>7663.6935199999998</v>
      </c>
      <c r="L5" s="357">
        <f>+I5-J5</f>
        <v>1992612.3786100002</v>
      </c>
    </row>
    <row r="6" spans="1:12" ht="38.25" customHeight="1" x14ac:dyDescent="0.2">
      <c r="A6" s="235">
        <v>3</v>
      </c>
      <c r="B6" s="236" t="s">
        <v>126</v>
      </c>
      <c r="C6" s="237" t="s">
        <v>137</v>
      </c>
      <c r="D6" s="129">
        <v>1070000</v>
      </c>
      <c r="E6" s="237">
        <v>2016</v>
      </c>
      <c r="F6" s="237" t="s">
        <v>130</v>
      </c>
      <c r="G6" s="1156">
        <v>0.02</v>
      </c>
      <c r="H6" s="1157"/>
      <c r="I6" s="413">
        <v>822540.31874999998</v>
      </c>
      <c r="J6" s="561">
        <v>12655.167520000001</v>
      </c>
      <c r="K6" s="416">
        <v>7663.6935199999998</v>
      </c>
      <c r="L6" s="357">
        <f>+I6-J6</f>
        <v>809885.15122999996</v>
      </c>
    </row>
    <row r="7" spans="1:12" ht="36" customHeight="1" x14ac:dyDescent="0.2">
      <c r="A7" s="235">
        <v>4</v>
      </c>
      <c r="B7" s="236" t="s">
        <v>19</v>
      </c>
      <c r="C7" s="237" t="s">
        <v>138</v>
      </c>
      <c r="D7" s="129">
        <f>200000000/1000</f>
        <v>200000</v>
      </c>
      <c r="E7" s="237">
        <v>2012</v>
      </c>
      <c r="F7" s="237" t="s">
        <v>131</v>
      </c>
      <c r="G7" s="1162" t="s">
        <v>12</v>
      </c>
      <c r="H7" s="1163"/>
      <c r="I7" s="355">
        <v>200000</v>
      </c>
      <c r="J7" s="323">
        <v>0</v>
      </c>
      <c r="K7" s="323">
        <v>0</v>
      </c>
      <c r="L7" s="357">
        <f>+I7-J7</f>
        <v>200000</v>
      </c>
    </row>
    <row r="8" spans="1:12" ht="34.5" customHeight="1" x14ac:dyDescent="0.2">
      <c r="A8" s="235">
        <v>5</v>
      </c>
      <c r="B8" s="239" t="s">
        <v>9</v>
      </c>
      <c r="C8" s="240" t="s">
        <v>140</v>
      </c>
      <c r="D8" s="130">
        <v>300000</v>
      </c>
      <c r="E8" s="131">
        <v>2009</v>
      </c>
      <c r="F8" s="131" t="s">
        <v>11</v>
      </c>
      <c r="G8" s="1164" t="s">
        <v>87</v>
      </c>
      <c r="H8" s="1165"/>
      <c r="I8" s="414">
        <v>49873.93</v>
      </c>
      <c r="J8" s="413">
        <v>49873.93</v>
      </c>
      <c r="K8" s="354">
        <v>126.07</v>
      </c>
      <c r="L8" s="371">
        <v>0</v>
      </c>
    </row>
    <row r="9" spans="1:12" ht="51.75" customHeight="1" x14ac:dyDescent="0.2">
      <c r="A9" s="235">
        <v>6</v>
      </c>
      <c r="B9" s="239" t="s">
        <v>170</v>
      </c>
      <c r="C9" s="240" t="s">
        <v>14</v>
      </c>
      <c r="D9" s="130">
        <v>1165000</v>
      </c>
      <c r="E9" s="131">
        <v>2019</v>
      </c>
      <c r="F9" s="131" t="s">
        <v>96</v>
      </c>
      <c r="G9" s="1156">
        <v>0.02</v>
      </c>
      <c r="H9" s="1157"/>
      <c r="I9" s="414">
        <v>741000</v>
      </c>
      <c r="J9" s="358">
        <v>35000</v>
      </c>
      <c r="K9" s="413">
        <v>168.42972</v>
      </c>
      <c r="L9" s="357">
        <f>+I9-J9</f>
        <v>706000</v>
      </c>
    </row>
    <row r="10" spans="1:12" s="409" customFormat="1" ht="30" customHeight="1" thickBot="1" x14ac:dyDescent="0.3">
      <c r="A10" s="1190" t="s">
        <v>23</v>
      </c>
      <c r="B10" s="1191"/>
      <c r="C10" s="1191"/>
      <c r="D10" s="541">
        <f>+SUM(D4:D9)</f>
        <v>5485000</v>
      </c>
      <c r="E10" s="545"/>
      <c r="F10" s="546"/>
      <c r="G10" s="546"/>
      <c r="H10" s="547"/>
      <c r="I10" s="541">
        <f>+SUM(I4:I9)</f>
        <v>4303404.094490001</v>
      </c>
      <c r="J10" s="541">
        <f>+SUM(J4:J9)</f>
        <v>117878.64405</v>
      </c>
      <c r="K10" s="541">
        <f>+SUM(K4:K9)</f>
        <v>15621.886759999999</v>
      </c>
      <c r="L10" s="541">
        <f>+SUM(L4:L9)</f>
        <v>4185525.4504400003</v>
      </c>
    </row>
    <row r="11" spans="1:12" s="409" customFormat="1" ht="51" customHeight="1" x14ac:dyDescent="0.25">
      <c r="A11" s="533" t="s">
        <v>15</v>
      </c>
      <c r="B11" s="533" t="s">
        <v>0</v>
      </c>
      <c r="C11" s="533" t="s">
        <v>1</v>
      </c>
      <c r="D11" s="533" t="s">
        <v>2</v>
      </c>
      <c r="E11" s="533" t="s">
        <v>3</v>
      </c>
      <c r="F11" s="533" t="s">
        <v>4</v>
      </c>
      <c r="G11" s="533" t="s">
        <v>18</v>
      </c>
      <c r="H11" s="533" t="s">
        <v>167</v>
      </c>
      <c r="I11" s="533" t="s">
        <v>135</v>
      </c>
      <c r="J11" s="533" t="s">
        <v>99</v>
      </c>
      <c r="K11" s="533" t="s">
        <v>147</v>
      </c>
      <c r="L11" s="533" t="s">
        <v>187</v>
      </c>
    </row>
    <row r="12" spans="1:12" ht="36" customHeight="1" x14ac:dyDescent="0.2">
      <c r="A12" s="235">
        <v>7</v>
      </c>
      <c r="B12" s="236" t="s">
        <v>156</v>
      </c>
      <c r="C12" s="237" t="s">
        <v>157</v>
      </c>
      <c r="D12" s="129">
        <f>50000000/1000</f>
        <v>50000</v>
      </c>
      <c r="E12" s="532">
        <v>45308</v>
      </c>
      <c r="F12" s="237" t="s">
        <v>158</v>
      </c>
      <c r="G12" s="372">
        <v>0.08</v>
      </c>
      <c r="H12" s="372" t="s">
        <v>173</v>
      </c>
      <c r="I12" s="323">
        <v>0</v>
      </c>
      <c r="J12" s="323">
        <v>0</v>
      </c>
      <c r="K12" s="323">
        <v>0</v>
      </c>
      <c r="L12" s="357">
        <f>50000</f>
        <v>50000</v>
      </c>
    </row>
    <row r="13" spans="1:12" ht="36" customHeight="1" x14ac:dyDescent="0.2">
      <c r="A13" s="235">
        <v>8</v>
      </c>
      <c r="B13" s="236" t="s">
        <v>159</v>
      </c>
      <c r="C13" s="237" t="s">
        <v>157</v>
      </c>
      <c r="D13" s="129">
        <f>30000000/1000</f>
        <v>30000</v>
      </c>
      <c r="E13" s="532">
        <v>45308</v>
      </c>
      <c r="F13" s="237" t="s">
        <v>160</v>
      </c>
      <c r="G13" s="372">
        <v>0.1</v>
      </c>
      <c r="H13" s="372" t="s">
        <v>174</v>
      </c>
      <c r="I13" s="323">
        <v>0</v>
      </c>
      <c r="J13" s="323">
        <v>0</v>
      </c>
      <c r="K13" s="323">
        <v>0</v>
      </c>
      <c r="L13" s="357">
        <v>30000</v>
      </c>
    </row>
    <row r="14" spans="1:12" ht="36" customHeight="1" x14ac:dyDescent="0.2">
      <c r="A14" s="235">
        <v>9</v>
      </c>
      <c r="B14" s="236" t="s">
        <v>161</v>
      </c>
      <c r="C14" s="237" t="s">
        <v>157</v>
      </c>
      <c r="D14" s="129">
        <f>20000000/1000</f>
        <v>20000</v>
      </c>
      <c r="E14" s="532">
        <v>45308</v>
      </c>
      <c r="F14" s="237" t="s">
        <v>162</v>
      </c>
      <c r="G14" s="372">
        <v>0.12</v>
      </c>
      <c r="H14" s="372" t="s">
        <v>175</v>
      </c>
      <c r="I14" s="323">
        <v>0</v>
      </c>
      <c r="J14" s="323">
        <v>0</v>
      </c>
      <c r="K14" s="413">
        <v>600</v>
      </c>
      <c r="L14" s="357">
        <v>20000</v>
      </c>
    </row>
    <row r="15" spans="1:12" ht="36" customHeight="1" x14ac:dyDescent="0.2">
      <c r="A15" s="235">
        <v>10</v>
      </c>
      <c r="B15" s="236" t="s">
        <v>156</v>
      </c>
      <c r="C15" s="237" t="s">
        <v>157</v>
      </c>
      <c r="D15" s="129">
        <f>30000000/1000</f>
        <v>30000</v>
      </c>
      <c r="E15" s="532">
        <v>45380</v>
      </c>
      <c r="F15" s="237" t="s">
        <v>158</v>
      </c>
      <c r="G15" s="372" t="s">
        <v>171</v>
      </c>
      <c r="H15" s="372" t="s">
        <v>176</v>
      </c>
      <c r="I15" s="323">
        <v>0</v>
      </c>
      <c r="J15" s="323">
        <v>0</v>
      </c>
      <c r="K15" s="323">
        <v>0</v>
      </c>
      <c r="L15" s="357">
        <v>29150.436089999999</v>
      </c>
    </row>
    <row r="16" spans="1:12" s="557" customFormat="1" ht="36" customHeight="1" x14ac:dyDescent="0.2">
      <c r="A16" s="235">
        <v>11</v>
      </c>
      <c r="B16" s="236" t="s">
        <v>156</v>
      </c>
      <c r="C16" s="237" t="s">
        <v>157</v>
      </c>
      <c r="D16" s="129">
        <f>50000000/1000</f>
        <v>50000</v>
      </c>
      <c r="E16" s="532">
        <v>45401</v>
      </c>
      <c r="F16" s="237" t="s">
        <v>158</v>
      </c>
      <c r="G16" s="372" t="s">
        <v>179</v>
      </c>
      <c r="H16" s="372" t="s">
        <v>178</v>
      </c>
      <c r="I16" s="323">
        <v>0</v>
      </c>
      <c r="J16" s="323">
        <v>0</v>
      </c>
      <c r="K16" s="323">
        <v>0</v>
      </c>
      <c r="L16" s="357">
        <v>48631.515379999997</v>
      </c>
    </row>
    <row r="17" spans="1:13" s="557" customFormat="1" ht="36" customHeight="1" x14ac:dyDescent="0.2">
      <c r="A17" s="559">
        <v>12</v>
      </c>
      <c r="B17" s="236" t="s">
        <v>156</v>
      </c>
      <c r="C17" s="237" t="s">
        <v>157</v>
      </c>
      <c r="D17" s="560">
        <v>50000</v>
      </c>
      <c r="E17" s="532">
        <v>45436</v>
      </c>
      <c r="F17" s="237" t="s">
        <v>158</v>
      </c>
      <c r="G17" s="372" t="s">
        <v>180</v>
      </c>
      <c r="H17" s="372" t="s">
        <v>181</v>
      </c>
      <c r="I17" s="323">
        <v>0</v>
      </c>
      <c r="J17" s="323">
        <v>0</v>
      </c>
      <c r="K17" s="323">
        <v>0</v>
      </c>
      <c r="L17" s="357">
        <v>48370.777249999999</v>
      </c>
      <c r="M17" s="153"/>
    </row>
    <row r="18" spans="1:13" s="409" customFormat="1" ht="30" customHeight="1" thickBot="1" x14ac:dyDescent="0.3">
      <c r="A18" s="1190" t="s">
        <v>168</v>
      </c>
      <c r="B18" s="1191"/>
      <c r="C18" s="1191"/>
      <c r="D18" s="541">
        <f>+SUM(D12:D17)</f>
        <v>230000</v>
      </c>
      <c r="E18" s="1173"/>
      <c r="F18" s="1174"/>
      <c r="G18" s="1174"/>
      <c r="H18" s="1175"/>
      <c r="I18" s="548">
        <f>+SUM(I12:I16)</f>
        <v>0</v>
      </c>
      <c r="J18" s="548">
        <f>+SUM(J12:J16)</f>
        <v>0</v>
      </c>
      <c r="K18" s="549">
        <f>+SUM(K12:K16)</f>
        <v>600</v>
      </c>
      <c r="L18" s="549">
        <f>+SUM(L12:L17)</f>
        <v>226152.72872000001</v>
      </c>
      <c r="M18" s="156">
        <f>+D18-L18</f>
        <v>3847.2712799999863</v>
      </c>
    </row>
    <row r="19" spans="1:13" s="409" customFormat="1" ht="46.5" customHeight="1" thickBot="1" x14ac:dyDescent="0.3">
      <c r="A19" s="1190" t="s">
        <v>169</v>
      </c>
      <c r="B19" s="1191"/>
      <c r="C19" s="1191"/>
      <c r="D19" s="541">
        <f>+D10+D18</f>
        <v>5715000</v>
      </c>
      <c r="E19" s="1176"/>
      <c r="F19" s="1177"/>
      <c r="G19" s="1177"/>
      <c r="H19" s="1178"/>
      <c r="I19" s="541">
        <f>+I10+I18</f>
        <v>4303404.094490001</v>
      </c>
      <c r="J19" s="541">
        <f>+J10+J18</f>
        <v>117878.64405</v>
      </c>
      <c r="K19" s="541">
        <f>+K10+K18</f>
        <v>16221.886759999999</v>
      </c>
      <c r="L19" s="541">
        <f>+L10+L18</f>
        <v>4411678.1791600008</v>
      </c>
    </row>
    <row r="20" spans="1:13" ht="28.5" customHeight="1" thickBot="1" x14ac:dyDescent="0.25">
      <c r="A20" s="360"/>
      <c r="B20" s="360"/>
      <c r="C20" s="361"/>
      <c r="D20" s="362"/>
      <c r="E20" s="363"/>
      <c r="F20" s="363"/>
      <c r="G20" s="364"/>
      <c r="H20" s="364"/>
      <c r="I20" s="384"/>
      <c r="J20" s="370"/>
      <c r="K20" s="370"/>
      <c r="L20" s="370"/>
    </row>
    <row r="21" spans="1:13" ht="36.75" customHeight="1" thickBot="1" x14ac:dyDescent="0.25">
      <c r="A21" s="366"/>
      <c r="B21" s="1128" t="s">
        <v>88</v>
      </c>
      <c r="C21" s="1129"/>
      <c r="D21" s="1130"/>
      <c r="E21" s="1188">
        <v>143945</v>
      </c>
      <c r="F21" s="1189"/>
      <c r="G21" s="366"/>
      <c r="H21" s="366"/>
      <c r="I21" s="1150" t="s">
        <v>190</v>
      </c>
      <c r="J21" s="1151"/>
      <c r="K21" s="417">
        <f>+I19-L19</f>
        <v>-108274.08466999978</v>
      </c>
      <c r="L21" s="368">
        <f>+(K21/I19)*100%</f>
        <v>-2.5160101699171572E-2</v>
      </c>
    </row>
    <row r="22" spans="1:13" ht="21" thickBot="1" x14ac:dyDescent="0.25">
      <c r="A22" s="366"/>
      <c r="B22" s="1128" t="s">
        <v>89</v>
      </c>
      <c r="C22" s="1129"/>
      <c r="D22" s="1130"/>
      <c r="E22" s="1131">
        <f>L19/E21/1000</f>
        <v>3.0648359992775025E-2</v>
      </c>
      <c r="F22" s="1132"/>
      <c r="G22" s="366"/>
      <c r="H22" s="366"/>
      <c r="I22" s="1133" t="s">
        <v>90</v>
      </c>
      <c r="J22" s="1134"/>
      <c r="K22" s="1181">
        <f>+J19+K19</f>
        <v>134100.53081</v>
      </c>
      <c r="L22" s="1182"/>
    </row>
    <row r="23" spans="1:13" s="19" customFormat="1" ht="18.75" thickBot="1" x14ac:dyDescent="0.3">
      <c r="A23" s="366"/>
      <c r="B23" s="1137" t="s">
        <v>189</v>
      </c>
      <c r="C23" s="1138"/>
      <c r="D23" s="1139"/>
      <c r="E23" s="1185">
        <f>+L19/G23</f>
        <v>409953.92599104211</v>
      </c>
      <c r="F23" s="1186"/>
      <c r="G23" s="1158">
        <v>10.7614</v>
      </c>
      <c r="H23" s="1159"/>
      <c r="I23" s="1135"/>
      <c r="J23" s="1136"/>
      <c r="K23" s="1183"/>
      <c r="L23" s="1184"/>
    </row>
    <row r="24" spans="1:13" s="19" customFormat="1" ht="24.75" customHeight="1" x14ac:dyDescent="0.25">
      <c r="A24" s="365"/>
      <c r="B24" s="3"/>
      <c r="C24" s="2"/>
      <c r="D24" s="123"/>
      <c r="E24" s="2"/>
      <c r="F24" s="2"/>
      <c r="G24" s="1172" t="s">
        <v>165</v>
      </c>
      <c r="H24" s="1172"/>
      <c r="I24" s="157"/>
      <c r="J24" s="157"/>
      <c r="K24" s="157"/>
      <c r="L24" s="157"/>
    </row>
    <row r="25" spans="1:13" s="19" customFormat="1" ht="24.75" customHeight="1" thickBot="1" x14ac:dyDescent="0.3">
      <c r="A25" s="366"/>
      <c r="B25" s="3"/>
      <c r="C25" s="557"/>
      <c r="D25" s="123"/>
      <c r="E25" s="557"/>
      <c r="F25" s="557"/>
      <c r="G25" s="557"/>
      <c r="H25" s="557"/>
      <c r="I25" s="157"/>
      <c r="J25" s="157"/>
      <c r="K25" s="157"/>
      <c r="L25" s="157"/>
    </row>
    <row r="26" spans="1:13" s="19" customFormat="1" ht="15" customHeight="1" x14ac:dyDescent="0.25">
      <c r="A26" s="2"/>
      <c r="B26" s="3"/>
      <c r="C26" s="3"/>
      <c r="D26" s="3"/>
      <c r="E26" s="3"/>
      <c r="G26" s="1166" t="s">
        <v>116</v>
      </c>
      <c r="H26" s="1167"/>
      <c r="I26" s="1168"/>
      <c r="J26" s="320"/>
      <c r="K26" s="320"/>
      <c r="L26" s="157"/>
    </row>
    <row r="27" spans="1:13" s="19" customFormat="1" ht="21" customHeight="1" thickBot="1" x14ac:dyDescent="0.3">
      <c r="A27" s="2"/>
      <c r="B27" s="3"/>
      <c r="C27" s="169"/>
      <c r="D27" s="2"/>
      <c r="E27" s="2"/>
      <c r="G27" s="1169"/>
      <c r="H27" s="1170"/>
      <c r="I27" s="1171"/>
      <c r="J27" s="157"/>
      <c r="K27" s="318">
        <f>+J26+K26</f>
        <v>0</v>
      </c>
      <c r="L27" s="324">
        <v>7663.6935299999996</v>
      </c>
    </row>
    <row r="28" spans="1:13" s="19" customFormat="1" ht="21" thickBot="1" x14ac:dyDescent="0.3">
      <c r="A28" s="2"/>
      <c r="B28" s="3"/>
      <c r="C28" s="2"/>
      <c r="D28" s="2"/>
      <c r="E28" s="2"/>
      <c r="G28" s="1179">
        <v>501220</v>
      </c>
      <c r="H28" s="1180"/>
      <c r="I28" s="554">
        <v>180820</v>
      </c>
      <c r="J28" s="157"/>
      <c r="K28" s="157"/>
      <c r="L28" s="325">
        <f>+K5</f>
        <v>7663.6935199999998</v>
      </c>
    </row>
    <row r="29" spans="1:13" s="19" customFormat="1" ht="21" thickBot="1" x14ac:dyDescent="0.3">
      <c r="A29" s="2"/>
      <c r="B29" s="3"/>
      <c r="C29" s="2"/>
      <c r="D29" s="2"/>
      <c r="E29" s="2"/>
      <c r="G29" s="1152">
        <v>426400</v>
      </c>
      <c r="H29" s="1153"/>
      <c r="I29" s="553">
        <v>106000</v>
      </c>
      <c r="J29" s="157"/>
      <c r="K29" s="157"/>
      <c r="L29" s="325">
        <f>+K6</f>
        <v>7663.6935199999998</v>
      </c>
    </row>
    <row r="30" spans="1:13" s="19" customFormat="1" ht="21" thickBot="1" x14ac:dyDescent="0.3">
      <c r="A30" s="2"/>
      <c r="B30" s="3"/>
      <c r="C30" s="2"/>
      <c r="D30" s="2"/>
      <c r="E30" s="2"/>
      <c r="G30" s="1152">
        <v>74820</v>
      </c>
      <c r="H30" s="1153"/>
      <c r="I30" s="553">
        <v>74820</v>
      </c>
      <c r="J30" s="157"/>
      <c r="K30" s="157"/>
      <c r="L30" s="325">
        <v>7663.6935199999998</v>
      </c>
    </row>
    <row r="31" spans="1:13" s="19" customFormat="1" ht="21" thickBot="1" x14ac:dyDescent="0.3">
      <c r="A31" s="2"/>
      <c r="B31" s="3"/>
      <c r="C31" s="2"/>
      <c r="D31" s="2"/>
      <c r="E31" s="2"/>
      <c r="G31" s="1154">
        <f>+G28-K27</f>
        <v>501220</v>
      </c>
      <c r="H31" s="1155"/>
      <c r="I31" s="552">
        <f>+I28-L32</f>
        <v>150165.22591000001</v>
      </c>
      <c r="J31" s="320"/>
      <c r="K31" s="157"/>
      <c r="L31" s="325"/>
    </row>
    <row r="32" spans="1:13" s="19" customFormat="1" ht="21" thickBot="1" x14ac:dyDescent="0.3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324">
        <f>+L27+L28+L29+L30+L31</f>
        <v>30654.774089999999</v>
      </c>
    </row>
  </sheetData>
  <mergeCells count="30">
    <mergeCell ref="G6:H6"/>
    <mergeCell ref="A1:L1"/>
    <mergeCell ref="A2:L2"/>
    <mergeCell ref="G3:H3"/>
    <mergeCell ref="G4:H4"/>
    <mergeCell ref="G5:H5"/>
    <mergeCell ref="B22:D22"/>
    <mergeCell ref="E22:F22"/>
    <mergeCell ref="I22:J23"/>
    <mergeCell ref="G7:H7"/>
    <mergeCell ref="G8:H8"/>
    <mergeCell ref="G9:H9"/>
    <mergeCell ref="A10:C10"/>
    <mergeCell ref="A18:C18"/>
    <mergeCell ref="E18:H18"/>
    <mergeCell ref="A19:C19"/>
    <mergeCell ref="E19:H19"/>
    <mergeCell ref="B21:D21"/>
    <mergeCell ref="E21:F21"/>
    <mergeCell ref="I21:J21"/>
    <mergeCell ref="B23:D23"/>
    <mergeCell ref="E23:F23"/>
    <mergeCell ref="G30:H30"/>
    <mergeCell ref="G31:H31"/>
    <mergeCell ref="K22:L23"/>
    <mergeCell ref="G23:H23"/>
    <mergeCell ref="G24:H24"/>
    <mergeCell ref="G26:I27"/>
    <mergeCell ref="G28:H28"/>
    <mergeCell ref="G29:H29"/>
  </mergeCells>
  <pageMargins left="0.56000000000000005" right="0.15748031496062992" top="0.74803149606299213" bottom="0.19685039370078741" header="0.19685039370078741" footer="0.19685039370078741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tabColor rgb="FF7030A0"/>
  </sheetPr>
  <dimension ref="A1:L24"/>
  <sheetViews>
    <sheetView zoomScaleNormal="100" zoomScaleSheetLayoutView="85" zoomScalePageLayoutView="60" workbookViewId="0">
      <selection activeCell="L18" sqref="L18"/>
    </sheetView>
  </sheetViews>
  <sheetFormatPr defaultRowHeight="14.25" x14ac:dyDescent="0.2"/>
  <cols>
    <col min="1" max="1" width="6.140625" style="557" customWidth="1"/>
    <col min="2" max="2" width="41.7109375" style="3" customWidth="1"/>
    <col min="3" max="3" width="21.42578125" style="557" customWidth="1"/>
    <col min="4" max="4" width="22.140625" style="557" customWidth="1"/>
    <col min="5" max="5" width="12.28515625" style="557" customWidth="1"/>
    <col min="6" max="6" width="14" style="557" customWidth="1"/>
    <col min="7" max="7" width="10.5703125" style="557" customWidth="1"/>
    <col min="8" max="8" width="14.85546875" style="557" customWidth="1"/>
    <col min="9" max="9" width="23" style="557" customWidth="1"/>
    <col min="10" max="10" width="20" style="557" customWidth="1"/>
    <col min="11" max="11" width="18.5703125" style="557" customWidth="1"/>
    <col min="12" max="12" width="22.7109375" style="557" customWidth="1"/>
    <col min="13" max="16384" width="9.140625" style="557"/>
  </cols>
  <sheetData>
    <row r="1" spans="1:12" s="122" customFormat="1" ht="33" customHeight="1" x14ac:dyDescent="0.25">
      <c r="A1" s="1143" t="s">
        <v>191</v>
      </c>
      <c r="B1" s="1143"/>
      <c r="C1" s="1143"/>
      <c r="D1" s="1143"/>
      <c r="E1" s="1143"/>
      <c r="F1" s="1143"/>
      <c r="G1" s="1143"/>
      <c r="H1" s="1143"/>
      <c r="I1" s="1143"/>
      <c r="J1" s="1143"/>
      <c r="K1" s="1143"/>
      <c r="L1" s="1143"/>
    </row>
    <row r="2" spans="1:12" ht="21.75" customHeight="1" x14ac:dyDescent="0.2">
      <c r="A2" s="1144" t="s">
        <v>91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</row>
    <row r="3" spans="1:12" s="409" customFormat="1" ht="51" customHeight="1" thickBot="1" x14ac:dyDescent="0.3">
      <c r="A3" s="533" t="s">
        <v>15</v>
      </c>
      <c r="B3" s="533" t="s">
        <v>0</v>
      </c>
      <c r="C3" s="533" t="s">
        <v>1</v>
      </c>
      <c r="D3" s="533" t="s">
        <v>2</v>
      </c>
      <c r="E3" s="533" t="s">
        <v>3</v>
      </c>
      <c r="F3" s="533" t="s">
        <v>4</v>
      </c>
      <c r="G3" s="1192" t="s">
        <v>18</v>
      </c>
      <c r="H3" s="1193"/>
      <c r="I3" s="533" t="s">
        <v>135</v>
      </c>
      <c r="J3" s="533" t="s">
        <v>99</v>
      </c>
      <c r="K3" s="533" t="s">
        <v>147</v>
      </c>
      <c r="L3" s="533" t="s">
        <v>183</v>
      </c>
    </row>
    <row r="4" spans="1:12" ht="51.75" customHeight="1" x14ac:dyDescent="0.2">
      <c r="A4" s="534">
        <v>1</v>
      </c>
      <c r="B4" s="535" t="s">
        <v>5</v>
      </c>
      <c r="C4" s="536" t="s">
        <v>127</v>
      </c>
      <c r="D4" s="537">
        <f>500000000/1000</f>
        <v>500000</v>
      </c>
      <c r="E4" s="536">
        <v>2012</v>
      </c>
      <c r="F4" s="536" t="s">
        <v>129</v>
      </c>
      <c r="G4" s="1160" t="s">
        <v>7</v>
      </c>
      <c r="H4" s="1161"/>
      <c r="I4" s="538">
        <v>477027.92060000001</v>
      </c>
      <c r="J4" s="539">
        <v>0</v>
      </c>
      <c r="K4" s="539">
        <v>0</v>
      </c>
      <c r="L4" s="540">
        <f>+I4-J4</f>
        <v>477027.92060000001</v>
      </c>
    </row>
    <row r="5" spans="1:12" ht="47.25" customHeight="1" x14ac:dyDescent="0.2">
      <c r="A5" s="235">
        <v>2</v>
      </c>
      <c r="B5" s="236" t="s">
        <v>125</v>
      </c>
      <c r="C5" s="237" t="s">
        <v>137</v>
      </c>
      <c r="D5" s="129">
        <v>2250000</v>
      </c>
      <c r="E5" s="237">
        <v>2016</v>
      </c>
      <c r="F5" s="237" t="s">
        <v>130</v>
      </c>
      <c r="G5" s="1156">
        <v>0.02</v>
      </c>
      <c r="H5" s="1157"/>
      <c r="I5" s="413">
        <v>2012961.9251400002</v>
      </c>
      <c r="J5" s="415">
        <v>12146.24553</v>
      </c>
      <c r="K5" s="416">
        <v>7663.6935199999998</v>
      </c>
      <c r="L5" s="357">
        <f>+I5-J5</f>
        <v>2000815.6796100002</v>
      </c>
    </row>
    <row r="6" spans="1:12" ht="38.25" customHeight="1" x14ac:dyDescent="0.2">
      <c r="A6" s="235">
        <v>3</v>
      </c>
      <c r="B6" s="236" t="s">
        <v>126</v>
      </c>
      <c r="C6" s="237" t="s">
        <v>137</v>
      </c>
      <c r="D6" s="129">
        <v>1070000</v>
      </c>
      <c r="E6" s="237">
        <v>2016</v>
      </c>
      <c r="F6" s="237" t="s">
        <v>130</v>
      </c>
      <c r="G6" s="1156">
        <v>0.02</v>
      </c>
      <c r="H6" s="1157"/>
      <c r="I6" s="413">
        <v>822540.31874999998</v>
      </c>
      <c r="J6" s="415">
        <v>9986.2355200000002</v>
      </c>
      <c r="K6" s="416">
        <v>7663.6935199999998</v>
      </c>
      <c r="L6" s="357">
        <f>+I6-J6</f>
        <v>812554.08322999999</v>
      </c>
    </row>
    <row r="7" spans="1:12" ht="36" customHeight="1" x14ac:dyDescent="0.2">
      <c r="A7" s="235">
        <v>4</v>
      </c>
      <c r="B7" s="236" t="s">
        <v>19</v>
      </c>
      <c r="C7" s="237" t="s">
        <v>138</v>
      </c>
      <c r="D7" s="129">
        <f>200000000/1000</f>
        <v>200000</v>
      </c>
      <c r="E7" s="237">
        <v>2012</v>
      </c>
      <c r="F7" s="237" t="s">
        <v>131</v>
      </c>
      <c r="G7" s="1162" t="s">
        <v>12</v>
      </c>
      <c r="H7" s="1163"/>
      <c r="I7" s="355">
        <v>200000</v>
      </c>
      <c r="J7" s="323">
        <v>0</v>
      </c>
      <c r="K7" s="323">
        <v>0</v>
      </c>
      <c r="L7" s="357">
        <f>+I7-J7</f>
        <v>200000</v>
      </c>
    </row>
    <row r="8" spans="1:12" ht="34.5" customHeight="1" x14ac:dyDescent="0.2">
      <c r="A8" s="235">
        <v>5</v>
      </c>
      <c r="B8" s="239" t="s">
        <v>9</v>
      </c>
      <c r="C8" s="240" t="s">
        <v>140</v>
      </c>
      <c r="D8" s="130">
        <v>300000</v>
      </c>
      <c r="E8" s="131">
        <v>2009</v>
      </c>
      <c r="F8" s="131" t="s">
        <v>11</v>
      </c>
      <c r="G8" s="1164" t="s">
        <v>87</v>
      </c>
      <c r="H8" s="1165"/>
      <c r="I8" s="414">
        <v>49873.93</v>
      </c>
      <c r="J8" s="413">
        <v>49873.93</v>
      </c>
      <c r="K8" s="354">
        <v>126.07</v>
      </c>
      <c r="L8" s="371">
        <v>0</v>
      </c>
    </row>
    <row r="9" spans="1:12" ht="51.75" customHeight="1" x14ac:dyDescent="0.2">
      <c r="A9" s="235">
        <v>6</v>
      </c>
      <c r="B9" s="239" t="s">
        <v>170</v>
      </c>
      <c r="C9" s="240" t="s">
        <v>14</v>
      </c>
      <c r="D9" s="130">
        <v>1165000</v>
      </c>
      <c r="E9" s="131">
        <v>2019</v>
      </c>
      <c r="F9" s="131" t="s">
        <v>96</v>
      </c>
      <c r="G9" s="1156">
        <v>0.02</v>
      </c>
      <c r="H9" s="1157"/>
      <c r="I9" s="414">
        <v>741000</v>
      </c>
      <c r="J9" s="358">
        <v>35000</v>
      </c>
      <c r="K9" s="413">
        <v>168.42972</v>
      </c>
      <c r="L9" s="357">
        <f>+I9-J9</f>
        <v>706000</v>
      </c>
    </row>
    <row r="10" spans="1:12" s="409" customFormat="1" ht="30" customHeight="1" thickBot="1" x14ac:dyDescent="0.3">
      <c r="A10" s="1227" t="s">
        <v>23</v>
      </c>
      <c r="B10" s="1228"/>
      <c r="C10" s="1228"/>
      <c r="D10" s="564">
        <f>+SUM(D4:D9)</f>
        <v>5485000</v>
      </c>
      <c r="E10" s="565"/>
      <c r="F10" s="566"/>
      <c r="G10" s="566"/>
      <c r="H10" s="567"/>
      <c r="I10" s="564">
        <f>+SUM(I4:I9)</f>
        <v>4303404.094490001</v>
      </c>
      <c r="J10" s="564">
        <f>+SUM(J4:J9)</f>
        <v>107006.41105</v>
      </c>
      <c r="K10" s="564">
        <f>+SUM(K4:K9)</f>
        <v>15621.886759999999</v>
      </c>
      <c r="L10" s="564">
        <f>+SUM(L4:L9)</f>
        <v>4196397.6834399998</v>
      </c>
    </row>
    <row r="11" spans="1:12" s="409" customFormat="1" ht="51" customHeight="1" x14ac:dyDescent="0.25">
      <c r="A11" s="533" t="s">
        <v>15</v>
      </c>
      <c r="B11" s="533" t="s">
        <v>0</v>
      </c>
      <c r="C11" s="533" t="s">
        <v>1</v>
      </c>
      <c r="D11" s="533" t="s">
        <v>2</v>
      </c>
      <c r="E11" s="533" t="s">
        <v>3</v>
      </c>
      <c r="F11" s="533" t="s">
        <v>4</v>
      </c>
      <c r="G11" s="533" t="s">
        <v>18</v>
      </c>
      <c r="H11" s="533" t="s">
        <v>167</v>
      </c>
      <c r="I11" s="533" t="s">
        <v>135</v>
      </c>
      <c r="J11" s="533" t="s">
        <v>99</v>
      </c>
      <c r="K11" s="533" t="s">
        <v>147</v>
      </c>
      <c r="L11" s="533" t="s">
        <v>183</v>
      </c>
    </row>
    <row r="12" spans="1:12" ht="36" customHeight="1" x14ac:dyDescent="0.2">
      <c r="A12" s="235">
        <v>7</v>
      </c>
      <c r="B12" s="236" t="s">
        <v>156</v>
      </c>
      <c r="C12" s="237" t="s">
        <v>157</v>
      </c>
      <c r="D12" s="129">
        <f>50000000/1000</f>
        <v>50000</v>
      </c>
      <c r="E12" s="532">
        <v>45308</v>
      </c>
      <c r="F12" s="237" t="s">
        <v>158</v>
      </c>
      <c r="G12" s="372">
        <v>0.08</v>
      </c>
      <c r="H12" s="372" t="s">
        <v>173</v>
      </c>
      <c r="I12" s="323">
        <v>0</v>
      </c>
      <c r="J12" s="323">
        <v>0</v>
      </c>
      <c r="K12" s="323">
        <v>0</v>
      </c>
      <c r="L12" s="357">
        <f>50000</f>
        <v>50000</v>
      </c>
    </row>
    <row r="13" spans="1:12" ht="36" customHeight="1" x14ac:dyDescent="0.2">
      <c r="A13" s="235">
        <v>8</v>
      </c>
      <c r="B13" s="236" t="s">
        <v>159</v>
      </c>
      <c r="C13" s="237" t="s">
        <v>157</v>
      </c>
      <c r="D13" s="129">
        <f>30000000/1000</f>
        <v>30000</v>
      </c>
      <c r="E13" s="532">
        <v>45308</v>
      </c>
      <c r="F13" s="237" t="s">
        <v>160</v>
      </c>
      <c r="G13" s="372">
        <v>0.1</v>
      </c>
      <c r="H13" s="372" t="s">
        <v>174</v>
      </c>
      <c r="I13" s="323">
        <v>0</v>
      </c>
      <c r="J13" s="323">
        <v>0</v>
      </c>
      <c r="K13" s="323">
        <v>0</v>
      </c>
      <c r="L13" s="357">
        <v>30000</v>
      </c>
    </row>
    <row r="14" spans="1:12" ht="36" customHeight="1" x14ac:dyDescent="0.2">
      <c r="A14" s="235">
        <v>9</v>
      </c>
      <c r="B14" s="236" t="s">
        <v>161</v>
      </c>
      <c r="C14" s="237" t="s">
        <v>157</v>
      </c>
      <c r="D14" s="129">
        <f>20000000/1000</f>
        <v>20000</v>
      </c>
      <c r="E14" s="532">
        <v>45308</v>
      </c>
      <c r="F14" s="237" t="s">
        <v>162</v>
      </c>
      <c r="G14" s="372">
        <v>0.12</v>
      </c>
      <c r="H14" s="372" t="s">
        <v>175</v>
      </c>
      <c r="I14" s="323">
        <v>0</v>
      </c>
      <c r="J14" s="323">
        <v>0</v>
      </c>
      <c r="K14" s="413">
        <v>600</v>
      </c>
      <c r="L14" s="357">
        <v>20000</v>
      </c>
    </row>
    <row r="15" spans="1:12" ht="36" customHeight="1" x14ac:dyDescent="0.2">
      <c r="A15" s="235">
        <v>10</v>
      </c>
      <c r="B15" s="236" t="s">
        <v>156</v>
      </c>
      <c r="C15" s="237" t="s">
        <v>157</v>
      </c>
      <c r="D15" s="129">
        <f>30000000/1000</f>
        <v>30000</v>
      </c>
      <c r="E15" s="532">
        <v>45380</v>
      </c>
      <c r="F15" s="237" t="s">
        <v>158</v>
      </c>
      <c r="G15" s="372" t="s">
        <v>171</v>
      </c>
      <c r="H15" s="372" t="s">
        <v>176</v>
      </c>
      <c r="I15" s="323">
        <v>0</v>
      </c>
      <c r="J15" s="323">
        <v>0</v>
      </c>
      <c r="K15" s="323">
        <v>0</v>
      </c>
      <c r="L15" s="357">
        <v>29150.436089999999</v>
      </c>
    </row>
    <row r="16" spans="1:12" ht="36" customHeight="1" x14ac:dyDescent="0.2">
      <c r="A16" s="235">
        <v>11</v>
      </c>
      <c r="B16" s="236" t="s">
        <v>156</v>
      </c>
      <c r="C16" s="237" t="s">
        <v>192</v>
      </c>
      <c r="D16" s="129">
        <f>50000000/1000</f>
        <v>50000</v>
      </c>
      <c r="E16" s="532">
        <v>45401</v>
      </c>
      <c r="F16" s="237" t="s">
        <v>158</v>
      </c>
      <c r="G16" s="372" t="s">
        <v>179</v>
      </c>
      <c r="H16" s="372" t="s">
        <v>178</v>
      </c>
      <c r="I16" s="323">
        <v>0</v>
      </c>
      <c r="J16" s="323">
        <v>0</v>
      </c>
      <c r="K16" s="323">
        <v>0</v>
      </c>
      <c r="L16" s="357">
        <v>48631.515379999997</v>
      </c>
    </row>
    <row r="17" spans="1:12" s="409" customFormat="1" ht="30" customHeight="1" thickBot="1" x14ac:dyDescent="0.3">
      <c r="A17" s="1227" t="s">
        <v>168</v>
      </c>
      <c r="B17" s="1228"/>
      <c r="C17" s="1228"/>
      <c r="D17" s="564">
        <f>+SUM(D12:D16)</f>
        <v>180000</v>
      </c>
      <c r="E17" s="1229"/>
      <c r="F17" s="1230"/>
      <c r="G17" s="1230"/>
      <c r="H17" s="1231"/>
      <c r="I17" s="568">
        <f>+SUM(I12:I16)</f>
        <v>0</v>
      </c>
      <c r="J17" s="568">
        <f>+SUM(J12:J16)</f>
        <v>0</v>
      </c>
      <c r="K17" s="568">
        <f>+SUM(K12:K16)</f>
        <v>600</v>
      </c>
      <c r="L17" s="569">
        <f>+SUM(L12:L16)</f>
        <v>177781.95147</v>
      </c>
    </row>
    <row r="18" spans="1:12" s="409" customFormat="1" ht="46.5" customHeight="1" thickBot="1" x14ac:dyDescent="0.3">
      <c r="A18" s="1190" t="s">
        <v>193</v>
      </c>
      <c r="B18" s="1191"/>
      <c r="C18" s="1191"/>
      <c r="D18" s="541">
        <f>+D10+D17</f>
        <v>5665000</v>
      </c>
      <c r="E18" s="1176"/>
      <c r="F18" s="1177"/>
      <c r="G18" s="1177"/>
      <c r="H18" s="1178"/>
      <c r="I18" s="541">
        <f>+I10+I17</f>
        <v>4303404.094490001</v>
      </c>
      <c r="J18" s="541">
        <f>+J10+J17</f>
        <v>107006.41105</v>
      </c>
      <c r="K18" s="541">
        <f>+K10+K17</f>
        <v>16221.886759999999</v>
      </c>
      <c r="L18" s="541">
        <f>+L10+L17</f>
        <v>4374179.6349099996</v>
      </c>
    </row>
    <row r="19" spans="1:12" ht="28.5" customHeight="1" thickBot="1" x14ac:dyDescent="0.25">
      <c r="A19" s="360"/>
      <c r="B19" s="360"/>
      <c r="C19" s="361"/>
      <c r="D19" s="362"/>
      <c r="E19" s="363"/>
      <c r="F19" s="363"/>
      <c r="G19" s="364"/>
      <c r="H19" s="364"/>
      <c r="I19" s="384"/>
      <c r="J19" s="370"/>
      <c r="K19" s="370"/>
      <c r="L19" s="370"/>
    </row>
    <row r="20" spans="1:12" ht="36.75" customHeight="1" thickBot="1" x14ac:dyDescent="0.25">
      <c r="A20" s="366"/>
      <c r="B20" s="1128" t="s">
        <v>88</v>
      </c>
      <c r="C20" s="1129"/>
      <c r="D20" s="1130"/>
      <c r="E20" s="1188">
        <v>143945</v>
      </c>
      <c r="F20" s="1189"/>
      <c r="G20" s="366"/>
      <c r="H20" s="366"/>
      <c r="I20" s="1150" t="s">
        <v>184</v>
      </c>
      <c r="J20" s="1151"/>
      <c r="K20" s="417">
        <f>+I18-L18</f>
        <v>-70775.540419998579</v>
      </c>
      <c r="L20" s="368">
        <f>+(K20/I18)*100%</f>
        <v>-1.6446408207543946E-2</v>
      </c>
    </row>
    <row r="21" spans="1:12" ht="21" thickBot="1" x14ac:dyDescent="0.25">
      <c r="A21" s="366"/>
      <c r="B21" s="1128" t="s">
        <v>89</v>
      </c>
      <c r="C21" s="1129"/>
      <c r="D21" s="1130"/>
      <c r="E21" s="1131">
        <f>L18/E20/1000</f>
        <v>3.0387853936642464E-2</v>
      </c>
      <c r="F21" s="1132"/>
      <c r="G21" s="366"/>
      <c r="H21" s="366"/>
      <c r="I21" s="1133" t="s">
        <v>90</v>
      </c>
      <c r="J21" s="1134"/>
      <c r="K21" s="1181">
        <f>+J18+K18</f>
        <v>123228.29780999999</v>
      </c>
      <c r="L21" s="1182"/>
    </row>
    <row r="22" spans="1:12" s="19" customFormat="1" ht="18.75" thickBot="1" x14ac:dyDescent="0.3">
      <c r="A22" s="366"/>
      <c r="B22" s="1137" t="s">
        <v>185</v>
      </c>
      <c r="C22" s="1138"/>
      <c r="D22" s="1139"/>
      <c r="E22" s="1185">
        <f>+L18/G22</f>
        <v>400397.2351308057</v>
      </c>
      <c r="F22" s="1186"/>
      <c r="G22" s="1158">
        <v>10.9246</v>
      </c>
      <c r="H22" s="1159"/>
      <c r="I22" s="1135"/>
      <c r="J22" s="1136"/>
      <c r="K22" s="1183"/>
      <c r="L22" s="1184"/>
    </row>
    <row r="23" spans="1:12" s="19" customFormat="1" ht="24.75" customHeight="1" x14ac:dyDescent="0.25">
      <c r="A23" s="365"/>
      <c r="B23" s="3"/>
      <c r="C23" s="557"/>
      <c r="D23" s="123"/>
      <c r="E23" s="557"/>
      <c r="F23" s="557"/>
      <c r="G23" s="1172" t="s">
        <v>165</v>
      </c>
      <c r="H23" s="1172"/>
      <c r="I23" s="157"/>
      <c r="J23" s="157"/>
      <c r="K23" s="157"/>
      <c r="L23" s="157"/>
    </row>
    <row r="24" spans="1:12" s="19" customFormat="1" ht="24.75" customHeight="1" x14ac:dyDescent="0.25">
      <c r="A24" s="366"/>
      <c r="B24" s="3"/>
      <c r="C24" s="557"/>
      <c r="D24" s="123"/>
      <c r="E24" s="557"/>
      <c r="F24" s="557"/>
      <c r="G24" s="557"/>
      <c r="H24" s="557"/>
      <c r="I24" s="157"/>
      <c r="J24" s="157"/>
      <c r="K24" s="157"/>
      <c r="L24" s="157"/>
    </row>
  </sheetData>
  <mergeCells count="25">
    <mergeCell ref="B21:D21"/>
    <mergeCell ref="E21:F21"/>
    <mergeCell ref="I21:J22"/>
    <mergeCell ref="K21:L22"/>
    <mergeCell ref="B22:D22"/>
    <mergeCell ref="E22:F22"/>
    <mergeCell ref="G22:H22"/>
    <mergeCell ref="A17:C17"/>
    <mergeCell ref="E17:H17"/>
    <mergeCell ref="A18:C18"/>
    <mergeCell ref="E18:H18"/>
    <mergeCell ref="B20:D20"/>
    <mergeCell ref="E20:F20"/>
    <mergeCell ref="G23:H23"/>
    <mergeCell ref="I20:J20"/>
    <mergeCell ref="G7:H7"/>
    <mergeCell ref="G8:H8"/>
    <mergeCell ref="G9:H9"/>
    <mergeCell ref="A10:C10"/>
    <mergeCell ref="A1:L1"/>
    <mergeCell ref="A2:L2"/>
    <mergeCell ref="G3:H3"/>
    <mergeCell ref="G4:H4"/>
    <mergeCell ref="G5:H5"/>
    <mergeCell ref="G6:H6"/>
  </mergeCells>
  <pageMargins left="0.15748031496062992" right="0.15748031496062992" top="0.74803149606299213" bottom="0.19685039370078741" header="0.19685039370078741" footer="0.19685039370078741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tabColor rgb="FF7030A0"/>
  </sheetPr>
  <dimension ref="A1:L19"/>
  <sheetViews>
    <sheetView zoomScaleNormal="100" zoomScaleSheetLayoutView="85" zoomScalePageLayoutView="60" workbookViewId="0">
      <selection activeCell="J5" sqref="J5"/>
    </sheetView>
  </sheetViews>
  <sheetFormatPr defaultRowHeight="14.25" x14ac:dyDescent="0.2"/>
  <cols>
    <col min="1" max="1" width="6.140625" style="557" customWidth="1"/>
    <col min="2" max="2" width="41.7109375" style="3" customWidth="1"/>
    <col min="3" max="3" width="21.42578125" style="557" customWidth="1"/>
    <col min="4" max="4" width="22.140625" style="557" customWidth="1"/>
    <col min="5" max="5" width="11.7109375" style="557" customWidth="1"/>
    <col min="6" max="6" width="11.42578125" style="557" customWidth="1"/>
    <col min="7" max="7" width="10.5703125" style="557" customWidth="1"/>
    <col min="8" max="8" width="6.28515625" style="557" customWidth="1"/>
    <col min="9" max="9" width="22.140625" style="557" customWidth="1"/>
    <col min="10" max="10" width="20" style="557" customWidth="1"/>
    <col min="11" max="11" width="18.140625" style="557" customWidth="1"/>
    <col min="12" max="12" width="22" style="557" customWidth="1"/>
    <col min="13" max="13" width="15.28515625" style="557" customWidth="1"/>
    <col min="14" max="16384" width="9.140625" style="557"/>
  </cols>
  <sheetData>
    <row r="1" spans="1:12" s="122" customFormat="1" ht="31.5" customHeight="1" x14ac:dyDescent="0.25">
      <c r="A1" s="1232" t="s">
        <v>194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</row>
    <row r="2" spans="1:12" ht="21.75" customHeight="1" x14ac:dyDescent="0.2">
      <c r="A2" s="1144" t="s">
        <v>91</v>
      </c>
      <c r="B2" s="1144"/>
      <c r="C2" s="1144"/>
      <c r="D2" s="1144"/>
      <c r="E2" s="1144"/>
      <c r="F2" s="1144"/>
      <c r="G2" s="1144"/>
      <c r="H2" s="1144"/>
      <c r="I2" s="1144"/>
      <c r="J2" s="1144"/>
      <c r="K2" s="1144"/>
      <c r="L2" s="1144"/>
    </row>
    <row r="3" spans="1:12" s="409" customFormat="1" ht="51" customHeight="1" thickBot="1" x14ac:dyDescent="0.3">
      <c r="A3" s="533" t="s">
        <v>15</v>
      </c>
      <c r="B3" s="533" t="s">
        <v>0</v>
      </c>
      <c r="C3" s="533" t="s">
        <v>1</v>
      </c>
      <c r="D3" s="533" t="s">
        <v>2</v>
      </c>
      <c r="E3" s="533" t="s">
        <v>3</v>
      </c>
      <c r="F3" s="533" t="s">
        <v>4</v>
      </c>
      <c r="G3" s="1192" t="s">
        <v>18</v>
      </c>
      <c r="H3" s="1193"/>
      <c r="I3" s="533" t="s">
        <v>135</v>
      </c>
      <c r="J3" s="533" t="s">
        <v>99</v>
      </c>
      <c r="K3" s="533" t="s">
        <v>147</v>
      </c>
      <c r="L3" s="533" t="s">
        <v>182</v>
      </c>
    </row>
    <row r="4" spans="1:12" ht="51.75" customHeight="1" x14ac:dyDescent="0.2">
      <c r="A4" s="534">
        <v>1</v>
      </c>
      <c r="B4" s="535" t="s">
        <v>5</v>
      </c>
      <c r="C4" s="536" t="s">
        <v>127</v>
      </c>
      <c r="D4" s="537">
        <f>500000000/1000</f>
        <v>500000</v>
      </c>
      <c r="E4" s="536">
        <v>2012</v>
      </c>
      <c r="F4" s="536" t="s">
        <v>129</v>
      </c>
      <c r="G4" s="1160" t="s">
        <v>7</v>
      </c>
      <c r="H4" s="1161"/>
      <c r="I4" s="538">
        <v>477027.92060000001</v>
      </c>
      <c r="J4" s="539">
        <v>0</v>
      </c>
      <c r="K4" s="539">
        <v>0</v>
      </c>
      <c r="L4" s="540">
        <f>+I4-J4</f>
        <v>477027.92060000001</v>
      </c>
    </row>
    <row r="5" spans="1:12" ht="47.25" customHeight="1" x14ac:dyDescent="0.2">
      <c r="A5" s="235">
        <v>2</v>
      </c>
      <c r="B5" s="236" t="s">
        <v>125</v>
      </c>
      <c r="C5" s="237" t="s">
        <v>137</v>
      </c>
      <c r="D5" s="129">
        <v>2250000</v>
      </c>
      <c r="E5" s="237">
        <v>2016</v>
      </c>
      <c r="F5" s="237" t="s">
        <v>130</v>
      </c>
      <c r="G5" s="1156">
        <v>0.02</v>
      </c>
      <c r="H5" s="1157"/>
      <c r="I5" s="413">
        <v>2012961.9251400002</v>
      </c>
      <c r="J5" s="561">
        <v>20449.54653</v>
      </c>
      <c r="K5" s="416">
        <v>7663.6935199999998</v>
      </c>
      <c r="L5" s="357">
        <f>+I5-J5</f>
        <v>1992512.3786100002</v>
      </c>
    </row>
    <row r="6" spans="1:12" ht="38.25" customHeight="1" x14ac:dyDescent="0.2">
      <c r="A6" s="235">
        <v>3</v>
      </c>
      <c r="B6" s="236" t="s">
        <v>126</v>
      </c>
      <c r="C6" s="237" t="s">
        <v>137</v>
      </c>
      <c r="D6" s="129">
        <v>1070000</v>
      </c>
      <c r="E6" s="237">
        <v>2016</v>
      </c>
      <c r="F6" s="237" t="s">
        <v>130</v>
      </c>
      <c r="G6" s="1156">
        <v>0.02</v>
      </c>
      <c r="H6" s="1157"/>
      <c r="I6" s="413">
        <v>822540.31874999998</v>
      </c>
      <c r="J6" s="561">
        <v>12655.167520000001</v>
      </c>
      <c r="K6" s="416">
        <v>7663.6935199999998</v>
      </c>
      <c r="L6" s="357">
        <f>+I6-J6</f>
        <v>809885.15122999996</v>
      </c>
    </row>
    <row r="7" spans="1:12" ht="36" customHeight="1" x14ac:dyDescent="0.2">
      <c r="A7" s="235">
        <v>4</v>
      </c>
      <c r="B7" s="236" t="s">
        <v>19</v>
      </c>
      <c r="C7" s="237" t="s">
        <v>138</v>
      </c>
      <c r="D7" s="129">
        <f>200000000/1000</f>
        <v>200000</v>
      </c>
      <c r="E7" s="237">
        <v>2012</v>
      </c>
      <c r="F7" s="237" t="s">
        <v>131</v>
      </c>
      <c r="G7" s="1162" t="s">
        <v>12</v>
      </c>
      <c r="H7" s="1163"/>
      <c r="I7" s="355">
        <v>200000</v>
      </c>
      <c r="J7" s="323">
        <v>0</v>
      </c>
      <c r="K7" s="323">
        <v>0</v>
      </c>
      <c r="L7" s="357">
        <f>+I7-J7</f>
        <v>200000</v>
      </c>
    </row>
    <row r="8" spans="1:12" ht="51.75" customHeight="1" x14ac:dyDescent="0.2">
      <c r="A8" s="235">
        <v>5</v>
      </c>
      <c r="B8" s="239" t="s">
        <v>170</v>
      </c>
      <c r="C8" s="240" t="s">
        <v>14</v>
      </c>
      <c r="D8" s="130">
        <v>1165000</v>
      </c>
      <c r="E8" s="131">
        <v>2019</v>
      </c>
      <c r="F8" s="131" t="s">
        <v>96</v>
      </c>
      <c r="G8" s="1156">
        <v>0.02</v>
      </c>
      <c r="H8" s="1157"/>
      <c r="I8" s="414">
        <v>741000</v>
      </c>
      <c r="J8" s="358">
        <f>35000+36000</f>
        <v>71000</v>
      </c>
      <c r="K8" s="413">
        <v>168.42972</v>
      </c>
      <c r="L8" s="357">
        <f>+I8-J8</f>
        <v>670000</v>
      </c>
    </row>
    <row r="9" spans="1:12" s="409" customFormat="1" ht="30" customHeight="1" thickBot="1" x14ac:dyDescent="0.3">
      <c r="A9" s="1190" t="s">
        <v>23</v>
      </c>
      <c r="B9" s="1191"/>
      <c r="C9" s="1191"/>
      <c r="D9" s="541">
        <f>+SUM(D4:D8)</f>
        <v>5185000</v>
      </c>
      <c r="E9" s="545"/>
      <c r="F9" s="546"/>
      <c r="G9" s="546"/>
      <c r="H9" s="547"/>
      <c r="I9" s="541">
        <f>+SUM(I4:I8)</f>
        <v>4253530.1644900003</v>
      </c>
      <c r="J9" s="541">
        <f>+SUM(J4:J8)</f>
        <v>104104.71405000001</v>
      </c>
      <c r="K9" s="541">
        <f>+SUM(K4:K8)</f>
        <v>15495.81676</v>
      </c>
      <c r="L9" s="541">
        <f>+SUM(L4:L8)</f>
        <v>4149425.4504400003</v>
      </c>
    </row>
    <row r="10" spans="1:12" ht="27" customHeight="1" x14ac:dyDescent="0.2">
      <c r="A10" s="360"/>
      <c r="B10" s="360"/>
      <c r="C10" s="361"/>
      <c r="D10" s="362"/>
      <c r="E10" s="363"/>
      <c r="F10" s="363"/>
      <c r="G10" s="364"/>
      <c r="H10" s="364"/>
      <c r="I10" s="384"/>
      <c r="J10" s="370"/>
      <c r="K10" s="370"/>
      <c r="L10" s="370"/>
    </row>
    <row r="11" spans="1:12" ht="30" customHeight="1" x14ac:dyDescent="0.2">
      <c r="A11" s="1232" t="s">
        <v>195</v>
      </c>
      <c r="B11" s="1232"/>
      <c r="C11" s="1232"/>
      <c r="D11" s="1232"/>
      <c r="E11" s="1232"/>
      <c r="F11" s="1232"/>
      <c r="G11" s="1232"/>
      <c r="H11" s="1232"/>
      <c r="I11" s="1232"/>
      <c r="J11" s="1232"/>
      <c r="K11" s="1232"/>
      <c r="L11" s="1232"/>
    </row>
    <row r="12" spans="1:12" ht="15.75" x14ac:dyDescent="0.2">
      <c r="A12" s="1144" t="s">
        <v>91</v>
      </c>
      <c r="B12" s="1144"/>
      <c r="C12" s="1144"/>
      <c r="D12" s="1144"/>
      <c r="E12" s="1144"/>
      <c r="F12" s="1144"/>
      <c r="G12" s="1144"/>
      <c r="H12" s="1144"/>
      <c r="I12" s="1144"/>
      <c r="J12" s="1144"/>
      <c r="K12" s="1144"/>
      <c r="L12" s="1144"/>
    </row>
    <row r="13" spans="1:12" ht="48" thickBot="1" x14ac:dyDescent="0.25">
      <c r="A13" s="533" t="s">
        <v>15</v>
      </c>
      <c r="B13" s="533" t="s">
        <v>0</v>
      </c>
      <c r="C13" s="533" t="s">
        <v>1</v>
      </c>
      <c r="D13" s="533" t="s">
        <v>2</v>
      </c>
      <c r="E13" s="533" t="s">
        <v>3</v>
      </c>
      <c r="F13" s="533" t="s">
        <v>4</v>
      </c>
      <c r="G13" s="1192" t="s">
        <v>18</v>
      </c>
      <c r="H13" s="1193"/>
      <c r="I13" s="533" t="s">
        <v>135</v>
      </c>
      <c r="J13" s="533" t="s">
        <v>99</v>
      </c>
      <c r="K13" s="533" t="s">
        <v>147</v>
      </c>
      <c r="L13" s="533" t="s">
        <v>183</v>
      </c>
    </row>
    <row r="14" spans="1:12" ht="47.25" x14ac:dyDescent="0.2">
      <c r="A14" s="534">
        <v>1</v>
      </c>
      <c r="B14" s="535" t="s">
        <v>5</v>
      </c>
      <c r="C14" s="536" t="s">
        <v>127</v>
      </c>
      <c r="D14" s="537">
        <f>500000000/1000</f>
        <v>500000</v>
      </c>
      <c r="E14" s="536">
        <v>2012</v>
      </c>
      <c r="F14" s="536" t="s">
        <v>129</v>
      </c>
      <c r="G14" s="1160" t="s">
        <v>7</v>
      </c>
      <c r="H14" s="1161"/>
      <c r="I14" s="538">
        <v>477027.92060000001</v>
      </c>
      <c r="J14" s="539">
        <v>0</v>
      </c>
      <c r="K14" s="539">
        <v>0</v>
      </c>
      <c r="L14" s="540">
        <f>+I14-J14</f>
        <v>477027.92060000001</v>
      </c>
    </row>
    <row r="15" spans="1:12" ht="47.25" x14ac:dyDescent="0.2">
      <c r="A15" s="235">
        <v>2</v>
      </c>
      <c r="B15" s="236" t="s">
        <v>125</v>
      </c>
      <c r="C15" s="237" t="s">
        <v>137</v>
      </c>
      <c r="D15" s="129">
        <v>2250000</v>
      </c>
      <c r="E15" s="237">
        <v>2016</v>
      </c>
      <c r="F15" s="237" t="s">
        <v>130</v>
      </c>
      <c r="G15" s="1156">
        <v>0.02</v>
      </c>
      <c r="H15" s="1157"/>
      <c r="I15" s="413">
        <v>2012961.9251400002</v>
      </c>
      <c r="J15" s="561">
        <v>12146.24553</v>
      </c>
      <c r="K15" s="416">
        <v>7663.6935199999998</v>
      </c>
      <c r="L15" s="357">
        <f>+I15-J15</f>
        <v>2000815.6796100002</v>
      </c>
    </row>
    <row r="16" spans="1:12" ht="47.25" x14ac:dyDescent="0.2">
      <c r="A16" s="235">
        <v>3</v>
      </c>
      <c r="B16" s="236" t="s">
        <v>126</v>
      </c>
      <c r="C16" s="237" t="s">
        <v>137</v>
      </c>
      <c r="D16" s="129">
        <v>1070000</v>
      </c>
      <c r="E16" s="237">
        <v>2016</v>
      </c>
      <c r="F16" s="237" t="s">
        <v>130</v>
      </c>
      <c r="G16" s="1156">
        <v>0.02</v>
      </c>
      <c r="H16" s="1157"/>
      <c r="I16" s="413">
        <v>822540.31874999998</v>
      </c>
      <c r="J16" s="561">
        <v>9986.2355200000002</v>
      </c>
      <c r="K16" s="416">
        <v>7663.6935199999998</v>
      </c>
      <c r="L16" s="357">
        <f>+I16-J16</f>
        <v>812554.08322999999</v>
      </c>
    </row>
    <row r="17" spans="1:12" ht="47.25" x14ac:dyDescent="0.2">
      <c r="A17" s="235">
        <v>4</v>
      </c>
      <c r="B17" s="236" t="s">
        <v>19</v>
      </c>
      <c r="C17" s="237" t="s">
        <v>138</v>
      </c>
      <c r="D17" s="129">
        <f>200000000/1000</f>
        <v>200000</v>
      </c>
      <c r="E17" s="237">
        <v>2012</v>
      </c>
      <c r="F17" s="237" t="s">
        <v>131</v>
      </c>
      <c r="G17" s="1162" t="s">
        <v>12</v>
      </c>
      <c r="H17" s="1163"/>
      <c r="I17" s="355">
        <v>200000</v>
      </c>
      <c r="J17" s="323">
        <v>0</v>
      </c>
      <c r="K17" s="323">
        <v>0</v>
      </c>
      <c r="L17" s="357">
        <f>+I17-J17</f>
        <v>200000</v>
      </c>
    </row>
    <row r="18" spans="1:12" ht="47.25" x14ac:dyDescent="0.2">
      <c r="A18" s="235">
        <v>5</v>
      </c>
      <c r="B18" s="239" t="s">
        <v>170</v>
      </c>
      <c r="C18" s="240" t="s">
        <v>14</v>
      </c>
      <c r="D18" s="130">
        <v>1165000</v>
      </c>
      <c r="E18" s="131">
        <v>2019</v>
      </c>
      <c r="F18" s="131" t="s">
        <v>96</v>
      </c>
      <c r="G18" s="1156">
        <v>0.02</v>
      </c>
      <c r="H18" s="1157"/>
      <c r="I18" s="414">
        <v>741000</v>
      </c>
      <c r="J18" s="358">
        <v>35000</v>
      </c>
      <c r="K18" s="413">
        <v>168.42972</v>
      </c>
      <c r="L18" s="357">
        <f>+I18-J18</f>
        <v>706000</v>
      </c>
    </row>
    <row r="19" spans="1:12" ht="21" thickBot="1" x14ac:dyDescent="0.25">
      <c r="A19" s="1190" t="s">
        <v>23</v>
      </c>
      <c r="B19" s="1191"/>
      <c r="C19" s="1191"/>
      <c r="D19" s="541">
        <f>+SUM(D14:D18)</f>
        <v>5185000</v>
      </c>
      <c r="E19" s="545"/>
      <c r="F19" s="546"/>
      <c r="G19" s="546"/>
      <c r="H19" s="547"/>
      <c r="I19" s="541">
        <f>+SUM(I14:I18)</f>
        <v>4253530.1644900003</v>
      </c>
      <c r="J19" s="541">
        <f>+SUM(J14:J18)</f>
        <v>57132.481050000002</v>
      </c>
      <c r="K19" s="541">
        <f>+SUM(K14:K18)</f>
        <v>15495.81676</v>
      </c>
      <c r="L19" s="541">
        <f>+SUM(L14:L18)</f>
        <v>4196397.6834399998</v>
      </c>
    </row>
  </sheetData>
  <mergeCells count="18">
    <mergeCell ref="G6:H6"/>
    <mergeCell ref="A1:L1"/>
    <mergeCell ref="A2:L2"/>
    <mergeCell ref="G3:H3"/>
    <mergeCell ref="G4:H4"/>
    <mergeCell ref="G5:H5"/>
    <mergeCell ref="G18:H18"/>
    <mergeCell ref="A19:C19"/>
    <mergeCell ref="G13:H13"/>
    <mergeCell ref="A11:L11"/>
    <mergeCell ref="G7:H7"/>
    <mergeCell ref="G8:H8"/>
    <mergeCell ref="A9:C9"/>
    <mergeCell ref="G14:H14"/>
    <mergeCell ref="A12:L12"/>
    <mergeCell ref="G15:H15"/>
    <mergeCell ref="G16:H16"/>
    <mergeCell ref="G17:H17"/>
  </mergeCells>
  <pageMargins left="0.56000000000000005" right="0.15748031496062992" top="0.74803149606299213" bottom="0.19685039370078741" header="0.19685039370078741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- 500 mln-31.12.24</vt:lpstr>
      <vt:lpstr>Қарзи БМТ 1165_31.12.24</vt:lpstr>
      <vt:lpstr>Ба Вазир 31.12.23</vt:lpstr>
      <vt:lpstr>01.04.24</vt:lpstr>
      <vt:lpstr>01.07.24</vt:lpstr>
      <vt:lpstr>ММД кв2</vt:lpstr>
      <vt:lpstr>31.05.24</vt:lpstr>
      <vt:lpstr>30.04.24</vt:lpstr>
      <vt:lpstr>Ба Вазир 29.05.24 БМТ</vt:lpstr>
      <vt:lpstr>30.06.24 НБТ</vt:lpstr>
      <vt:lpstr>- 500 mln-31.12.23</vt:lpstr>
      <vt:lpstr>30.09.24</vt:lpstr>
      <vt:lpstr>4-квартал</vt:lpstr>
      <vt:lpstr>Лист1</vt:lpstr>
      <vt:lpstr>31.12.24 БМТ-МВФ</vt:lpstr>
      <vt:lpstr>diagramma-practice</vt:lpstr>
      <vt:lpstr>2025-2027</vt:lpstr>
      <vt:lpstr>1165-Апи Тахмин</vt:lpstr>
      <vt:lpstr>Вазир 2024-2026</vt:lpstr>
      <vt:lpstr>30.06.24 (2)</vt:lpstr>
      <vt:lpstr>'- 500 mln-31.12.24'!Область_печати</vt:lpstr>
      <vt:lpstr>'01.04.24'!Область_печати</vt:lpstr>
      <vt:lpstr>'01.07.24'!Область_печати</vt:lpstr>
      <vt:lpstr>'1165-Апи Тахмин'!Область_печати</vt:lpstr>
      <vt:lpstr>'2025-2027'!Область_печати</vt:lpstr>
      <vt:lpstr>'30.04.24'!Область_печати</vt:lpstr>
      <vt:lpstr>'30.06.24 (2)'!Область_печати</vt:lpstr>
      <vt:lpstr>'30.06.24 НБТ'!Область_печати</vt:lpstr>
      <vt:lpstr>'30.09.24'!Область_печати</vt:lpstr>
      <vt:lpstr>'31.05.24'!Область_печати</vt:lpstr>
      <vt:lpstr>'31.12.24 БМТ-МВФ'!Область_печати</vt:lpstr>
      <vt:lpstr>'4-квартал'!Область_печати</vt:lpstr>
      <vt:lpstr>'Ба Вазир 29.05.24 БМТ'!Область_печати</vt:lpstr>
      <vt:lpstr>'Ба Вазир 31.12.23'!Область_печати</vt:lpstr>
      <vt:lpstr>'Вазир 2024-2026'!Область_печати</vt:lpstr>
      <vt:lpstr>'Қарзи БМТ 1165_31.12.24'!Область_печати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2025-07-23T11:34:15Z</dcterms:modified>
</cp:coreProperties>
</file>