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showHorizontalScroll="0" showVerticalScroll="0" showSheetTabs="0" xWindow="0" yWindow="0" windowWidth="28800" windowHeight="12135" tabRatio="830"/>
  </bookViews>
  <sheets>
    <sheet name="Ба Вазир 01-04-22" sheetId="36" r:id="rId1"/>
    <sheet name="Қарз нисбат ба ММД дар кв1" sheetId="34" r:id="rId2"/>
    <sheet name="Қарздорӣ дар назди БМТ-31.01.22" sheetId="31" r:id="rId3"/>
    <sheet name="векселҳои оддии бефоиз-31.12.21" sheetId="32" r:id="rId4"/>
    <sheet name="Қарзи БМТ 1165_22.12.2021" sheetId="8" r:id="rId5"/>
    <sheet name="ҚД маблағҳои буҷетӣ дар 2022" sheetId="15" r:id="rId6"/>
    <sheet name="-- РОГУН" sheetId="6" r:id="rId7"/>
    <sheet name="-- Роғун" sheetId="28" r:id="rId8"/>
    <sheet name="--- Қарздорӣ назди БМТ.28.12.21" sheetId="29" r:id="rId9"/>
    <sheet name="--- 500 mln-01.12.2021" sheetId="26" r:id="rId10"/>
  </sheets>
  <externalReferences>
    <externalReference r:id="rId11"/>
    <externalReference r:id="rId12"/>
    <externalReference r:id="rId13"/>
    <externalReference r:id="rId14"/>
    <externalReference r:id="rId15"/>
  </externalReferences>
  <definedNames>
    <definedName name="_xlcn.WorksheetConnection_қарздориидарназдиБМТA1A131" hidden="1">'[1]қарздории дар назди БМТ'!$A$1:$A$13</definedName>
    <definedName name="_xlnm.Print_Area" localSheetId="6">'-- РОГУН'!$A$1:$J$46</definedName>
    <definedName name="_xlnm.Print_Area" localSheetId="0">'Ба Вазир 01-04-22'!$A$1:$M$22</definedName>
    <definedName name="_xlnm.Print_Area" localSheetId="3">'векселҳои оддии бефоиз-31.12.21'!$A$1:$L$17</definedName>
    <definedName name="_xlnm.Print_Area" localSheetId="2">'Қарздорӣ дар назди БМТ-31.01.22'!$A$1:$P$13</definedName>
    <definedName name="_xlnm.Print_Area" localSheetId="4">'Қарзи БМТ 1165_22.12.2021'!$A$1:$P$46</definedName>
    <definedName name="_xlnm.Print_Area" localSheetId="5">'ҚД маблағҳои буҷетӣ дар 2022'!$A$1:$P$19</definedName>
  </definedNames>
  <calcPr calcId="152511"/>
  <extLst>
    <ext xmlns:x15="http://schemas.microsoft.com/office/spreadsheetml/2010/11/main" uri="{FCE2AD5D-F65C-4FA6-A056-5C36A1767C68}">
      <x15:dataModel>
        <x15:modelTables>
          <x15:modelTable id="Диапазон-6001b6df-3d5c-448c-8547-2fe6d42f60ff" name="Диапазон" connection="WorksheetConnection_қарздории дар назди БМТ!$A$1:$A$13"/>
        </x15:modelTables>
      </x15:dataModel>
    </ext>
  </extLst>
</workbook>
</file>

<file path=xl/calcChain.xml><?xml version="1.0" encoding="utf-8"?>
<calcChain xmlns="http://schemas.openxmlformats.org/spreadsheetml/2006/main">
  <c r="K7" i="36" l="1"/>
  <c r="M13" i="36"/>
  <c r="M15" i="36"/>
  <c r="K18" i="36"/>
  <c r="F18" i="34" l="1"/>
  <c r="D19" i="34"/>
  <c r="L10" i="36"/>
  <c r="M10" i="36" s="1"/>
  <c r="E13" i="34"/>
  <c r="C13" i="34"/>
  <c r="E8" i="34" l="1"/>
  <c r="E15" i="34" s="1"/>
  <c r="D20" i="34" s="1"/>
  <c r="I19" i="6"/>
  <c r="L114" i="8"/>
  <c r="M114" i="8"/>
  <c r="K114" i="8"/>
  <c r="O114" i="8"/>
  <c r="O113" i="8"/>
  <c r="N113" i="8"/>
  <c r="P112" i="8"/>
  <c r="P113" i="8"/>
  <c r="L16" i="36"/>
  <c r="M16" i="36" s="1"/>
  <c r="J16" i="36"/>
  <c r="L9" i="36"/>
  <c r="M9" i="36" s="1"/>
  <c r="L8" i="36"/>
  <c r="M8" i="36" s="1"/>
  <c r="L7" i="36"/>
  <c r="M7" i="36" s="1"/>
  <c r="E25" i="34" l="1"/>
  <c r="L112" i="8"/>
  <c r="P114" i="8" s="1"/>
  <c r="M113" i="8"/>
  <c r="K113" i="8"/>
  <c r="M103" i="8"/>
  <c r="M73" i="8"/>
  <c r="O100" i="8"/>
  <c r="K100" i="8"/>
  <c r="I100" i="8"/>
  <c r="N98" i="8"/>
  <c r="N96" i="8"/>
  <c r="N93" i="8"/>
  <c r="N85" i="8"/>
  <c r="G84" i="8"/>
  <c r="L84" i="8" s="1"/>
  <c r="M84" i="8" s="1"/>
  <c r="P84" i="8" s="1"/>
  <c r="L83" i="8"/>
  <c r="P71" i="8"/>
  <c r="O70" i="8"/>
  <c r="K70" i="8"/>
  <c r="I70" i="8"/>
  <c r="N68" i="8"/>
  <c r="N66" i="8"/>
  <c r="N63" i="8"/>
  <c r="N60" i="8"/>
  <c r="G59" i="8"/>
  <c r="L59" i="8" s="1"/>
  <c r="L58" i="8"/>
  <c r="M58" i="8" s="1"/>
  <c r="N100" i="8" l="1"/>
  <c r="G85" i="8"/>
  <c r="M83" i="8"/>
  <c r="N70" i="8"/>
  <c r="M59" i="8"/>
  <c r="P59" i="8" s="1"/>
  <c r="P58" i="8"/>
  <c r="G60" i="8"/>
  <c r="P83" i="8" l="1"/>
  <c r="G86" i="8"/>
  <c r="L85" i="8"/>
  <c r="G61" i="8"/>
  <c r="L60" i="8"/>
  <c r="M85" i="8" l="1"/>
  <c r="L86" i="8"/>
  <c r="M86" i="8" s="1"/>
  <c r="P86" i="8" s="1"/>
  <c r="G87" i="8"/>
  <c r="L87" i="8" s="1"/>
  <c r="M60" i="8"/>
  <c r="G62" i="8"/>
  <c r="L61" i="8"/>
  <c r="M61" i="8" s="1"/>
  <c r="P61" i="8" s="1"/>
  <c r="P85" i="8" l="1"/>
  <c r="M87" i="8"/>
  <c r="P87" i="8" s="1"/>
  <c r="G88" i="8"/>
  <c r="L88" i="8" s="1"/>
  <c r="G63" i="8"/>
  <c r="L62" i="8"/>
  <c r="M62" i="8" s="1"/>
  <c r="P62" i="8" s="1"/>
  <c r="P60" i="8"/>
  <c r="M88" i="8" l="1"/>
  <c r="P88" i="8" s="1"/>
  <c r="G89" i="8"/>
  <c r="L89" i="8" s="1"/>
  <c r="L63" i="8"/>
  <c r="G64" i="8"/>
  <c r="M89" i="8" l="1"/>
  <c r="P89" i="8" s="1"/>
  <c r="G90" i="8"/>
  <c r="L90" i="8" s="1"/>
  <c r="M63" i="8"/>
  <c r="G65" i="8"/>
  <c r="L64" i="8"/>
  <c r="M64" i="8" s="1"/>
  <c r="P64" i="8" s="1"/>
  <c r="M90" i="8" l="1"/>
  <c r="G91" i="8"/>
  <c r="L65" i="8"/>
  <c r="M65" i="8" s="1"/>
  <c r="P65" i="8" s="1"/>
  <c r="G66" i="8"/>
  <c r="P63" i="8"/>
  <c r="L91" i="8" l="1"/>
  <c r="M91" i="8" s="1"/>
  <c r="P91" i="8" s="1"/>
  <c r="G92" i="8"/>
  <c r="P90" i="8"/>
  <c r="G67" i="8"/>
  <c r="L66" i="8"/>
  <c r="M66" i="8" s="1"/>
  <c r="P66" i="8" s="1"/>
  <c r="L92" i="8" l="1"/>
  <c r="M92" i="8" s="1"/>
  <c r="P92" i="8" s="1"/>
  <c r="G93" i="8"/>
  <c r="L67" i="8"/>
  <c r="M67" i="8" s="1"/>
  <c r="P67" i="8" s="1"/>
  <c r="G68" i="8"/>
  <c r="G94" i="8" l="1"/>
  <c r="L93" i="8"/>
  <c r="M93" i="8" s="1"/>
  <c r="P93" i="8" s="1"/>
  <c r="G69" i="8"/>
  <c r="L69" i="8" s="1"/>
  <c r="L68" i="8"/>
  <c r="M68" i="8" s="1"/>
  <c r="P68" i="8" s="1"/>
  <c r="G95" i="8" l="1"/>
  <c r="L94" i="8"/>
  <c r="M94" i="8" s="1"/>
  <c r="P94" i="8" s="1"/>
  <c r="M69" i="8"/>
  <c r="L70" i="8"/>
  <c r="G96" i="8" l="1"/>
  <c r="L95" i="8"/>
  <c r="M95" i="8" s="1"/>
  <c r="P95" i="8" s="1"/>
  <c r="P69" i="8"/>
  <c r="P70" i="8" s="1"/>
  <c r="M70" i="8"/>
  <c r="G97" i="8" l="1"/>
  <c r="L96" i="8"/>
  <c r="M96" i="8" s="1"/>
  <c r="P96" i="8" s="1"/>
  <c r="L97" i="8" l="1"/>
  <c r="M97" i="8" s="1"/>
  <c r="P97" i="8" s="1"/>
  <c r="G98" i="8"/>
  <c r="G99" i="8" l="1"/>
  <c r="L99" i="8" s="1"/>
  <c r="L98" i="8"/>
  <c r="M98" i="8" s="1"/>
  <c r="P98" i="8" s="1"/>
  <c r="L100" i="8" l="1"/>
  <c r="M99" i="8"/>
  <c r="P99" i="8" l="1"/>
  <c r="P100" i="8" s="1"/>
  <c r="M100" i="8"/>
  <c r="F11" i="34" l="1"/>
  <c r="F10" i="34"/>
  <c r="F8" i="34" l="1"/>
  <c r="D22" i="34"/>
  <c r="E136" i="28" l="1"/>
  <c r="K135" i="28"/>
  <c r="I136" i="28"/>
  <c r="I135" i="28"/>
  <c r="J18" i="36"/>
  <c r="L21" i="36" s="1"/>
  <c r="I18" i="36"/>
  <c r="H18" i="36"/>
  <c r="L14" i="36"/>
  <c r="M14" i="36" s="1"/>
  <c r="D13" i="36"/>
  <c r="L12" i="36"/>
  <c r="M12" i="36" s="1"/>
  <c r="D12" i="36"/>
  <c r="L11" i="36"/>
  <c r="M11" i="36" s="1"/>
  <c r="M18" i="36" s="1"/>
  <c r="D9" i="36"/>
  <c r="D7" i="36"/>
  <c r="I142" i="28" l="1"/>
  <c r="J136" i="28"/>
  <c r="J142" i="28" s="1"/>
  <c r="L18" i="36"/>
  <c r="G21" i="36" s="1"/>
  <c r="I13" i="6"/>
  <c r="I12" i="6"/>
  <c r="I9" i="6"/>
  <c r="L142" i="28"/>
  <c r="L20" i="36" l="1"/>
  <c r="M104" i="8"/>
  <c r="M74" i="8"/>
  <c r="G22" i="36"/>
  <c r="K136" i="28"/>
  <c r="K142" i="28" s="1"/>
  <c r="G33" i="28"/>
  <c r="L133" i="28"/>
  <c r="G94" i="28"/>
  <c r="G93" i="28"/>
  <c r="G92" i="28"/>
  <c r="G133" i="28"/>
  <c r="K133" i="28"/>
  <c r="G134" i="28" l="1"/>
  <c r="E147" i="28"/>
  <c r="H25" i="6" l="1"/>
  <c r="H24" i="6"/>
  <c r="J19" i="6"/>
  <c r="K8" i="15"/>
  <c r="K7" i="15"/>
  <c r="F7" i="29"/>
  <c r="B63" i="26"/>
  <c r="F66" i="26"/>
  <c r="G64" i="26"/>
  <c r="L143" i="28"/>
  <c r="B136" i="28" s="1"/>
  <c r="G135" i="28"/>
  <c r="G136" i="28"/>
  <c r="L148" i="28" l="1"/>
  <c r="B107" i="28"/>
  <c r="G142" i="28"/>
  <c r="H11" i="15" l="1"/>
  <c r="K17" i="8"/>
  <c r="F5" i="34"/>
  <c r="C15" i="34"/>
  <c r="F15" i="34" s="1"/>
  <c r="H20" i="6" l="1"/>
  <c r="H19" i="6"/>
  <c r="L31" i="29" l="1"/>
  <c r="F31" i="29"/>
  <c r="H16" i="29"/>
  <c r="K13" i="29"/>
  <c r="L13" i="29"/>
  <c r="K7" i="29"/>
  <c r="G9" i="29"/>
  <c r="H13" i="15"/>
  <c r="G110" i="8"/>
  <c r="M110" i="8"/>
  <c r="G111" i="8"/>
  <c r="G112" i="8" s="1"/>
  <c r="M111" i="8"/>
  <c r="M112" i="8"/>
  <c r="K18" i="31"/>
  <c r="N12" i="31"/>
  <c r="N10" i="31"/>
  <c r="N7" i="31"/>
  <c r="N6" i="31"/>
  <c r="N5" i="31"/>
  <c r="M15" i="31"/>
  <c r="K15" i="31"/>
  <c r="H15" i="31"/>
  <c r="D18" i="31"/>
  <c r="G113" i="8" l="1"/>
  <c r="O112" i="8"/>
  <c r="N15" i="31"/>
  <c r="K13" i="31"/>
  <c r="H13" i="31"/>
  <c r="F7" i="34"/>
  <c r="F9" i="34"/>
  <c r="F12" i="34"/>
  <c r="F14" i="34"/>
  <c r="E27" i="34" l="1"/>
  <c r="F21" i="34"/>
  <c r="H19" i="34"/>
  <c r="F19" i="34"/>
  <c r="D15" i="34"/>
  <c r="G14" i="34"/>
  <c r="H14" i="34" s="1"/>
  <c r="F13" i="34"/>
  <c r="H12" i="34"/>
  <c r="H11" i="34"/>
  <c r="G10" i="34"/>
  <c r="H10" i="34"/>
  <c r="H9" i="34"/>
  <c r="G7" i="34"/>
  <c r="H7" i="34" s="1"/>
  <c r="G5" i="34"/>
  <c r="G15" i="34" s="1"/>
  <c r="C20" i="34" l="1"/>
  <c r="F20" i="34" s="1"/>
  <c r="C22" i="34"/>
  <c r="H13" i="34"/>
  <c r="H5" i="34"/>
  <c r="H20" i="34"/>
  <c r="H22" i="34"/>
  <c r="G18" i="29"/>
  <c r="K18" i="29"/>
  <c r="K31" i="29"/>
  <c r="G26" i="29" l="1"/>
  <c r="G23" i="29"/>
  <c r="O27" i="29"/>
  <c r="F24" i="29" l="1"/>
  <c r="N24" i="29"/>
  <c r="G24" i="29"/>
  <c r="K24" i="29" s="1"/>
  <c r="M24" i="29" l="1"/>
  <c r="G27" i="29" l="1"/>
  <c r="L11" i="32" l="1"/>
  <c r="K11" i="32"/>
  <c r="J11" i="32"/>
  <c r="I11" i="32"/>
  <c r="H11" i="32"/>
  <c r="G11" i="32"/>
  <c r="F11" i="32"/>
  <c r="E11" i="32"/>
  <c r="D11" i="32"/>
  <c r="M9" i="32"/>
  <c r="L9" i="32"/>
  <c r="K9" i="32"/>
  <c r="I9" i="32"/>
  <c r="H9" i="32"/>
  <c r="F9" i="32"/>
  <c r="L8" i="32"/>
  <c r="K8" i="32"/>
  <c r="I8" i="32"/>
  <c r="F8" i="32"/>
  <c r="L7" i="32"/>
  <c r="K7" i="32"/>
  <c r="I7" i="32"/>
  <c r="F7" i="32"/>
  <c r="L6" i="32"/>
  <c r="K6" i="32"/>
  <c r="I6" i="32"/>
  <c r="F6" i="32"/>
  <c r="K5" i="32"/>
  <c r="I5" i="32"/>
  <c r="F5" i="32"/>
  <c r="K4" i="32"/>
  <c r="I4" i="32"/>
  <c r="F4" i="32"/>
  <c r="H69" i="26"/>
  <c r="M68" i="26"/>
  <c r="L68" i="26"/>
  <c r="L66" i="26"/>
  <c r="K65" i="26"/>
  <c r="J65" i="26"/>
  <c r="I65" i="26"/>
  <c r="H65" i="26"/>
  <c r="G65" i="26"/>
  <c r="F65" i="26"/>
  <c r="L64" i="26"/>
  <c r="J64" i="26"/>
  <c r="I64" i="26"/>
  <c r="H64" i="26"/>
  <c r="F64" i="26"/>
  <c r="K63" i="26"/>
  <c r="J63" i="26"/>
  <c r="G63" i="26"/>
  <c r="F63" i="26"/>
  <c r="J62" i="26"/>
  <c r="I62" i="26"/>
  <c r="H62" i="26"/>
  <c r="G62" i="26"/>
  <c r="F62" i="26"/>
  <c r="J61" i="26"/>
  <c r="G61" i="26"/>
  <c r="F61" i="26"/>
  <c r="B61" i="26"/>
  <c r="J60" i="26"/>
  <c r="G60" i="26"/>
  <c r="F60" i="26"/>
  <c r="B60" i="26"/>
  <c r="J59" i="26"/>
  <c r="G59" i="26"/>
  <c r="F59" i="26"/>
  <c r="B59" i="26"/>
  <c r="J58" i="26"/>
  <c r="G58" i="26"/>
  <c r="F58" i="26"/>
  <c r="B58" i="26"/>
  <c r="J57" i="26"/>
  <c r="G57" i="26"/>
  <c r="F57" i="26"/>
  <c r="B57" i="26"/>
  <c r="J56" i="26"/>
  <c r="G56" i="26"/>
  <c r="F56" i="26"/>
  <c r="B56" i="26"/>
  <c r="J55" i="26"/>
  <c r="G55" i="26"/>
  <c r="F55" i="26"/>
  <c r="B55" i="26"/>
  <c r="J54" i="26"/>
  <c r="G54" i="26"/>
  <c r="F54" i="26"/>
  <c r="B54" i="26"/>
  <c r="J53" i="26"/>
  <c r="G53" i="26"/>
  <c r="F53" i="26"/>
  <c r="B53" i="26"/>
  <c r="J52" i="26"/>
  <c r="G52" i="26"/>
  <c r="F52" i="26"/>
  <c r="B52" i="26"/>
  <c r="J51" i="26"/>
  <c r="G51" i="26"/>
  <c r="F51" i="26"/>
  <c r="B51" i="26"/>
  <c r="J50" i="26"/>
  <c r="G50" i="26"/>
  <c r="F50" i="26"/>
  <c r="B50" i="26"/>
  <c r="J49" i="26"/>
  <c r="G49" i="26"/>
  <c r="F49" i="26"/>
  <c r="B49" i="26"/>
  <c r="J48" i="26"/>
  <c r="G48" i="26"/>
  <c r="F48" i="26"/>
  <c r="B48" i="26"/>
  <c r="J47" i="26"/>
  <c r="G47" i="26"/>
  <c r="F47" i="26"/>
  <c r="B47" i="26"/>
  <c r="J46" i="26"/>
  <c r="G46" i="26"/>
  <c r="F46" i="26"/>
  <c r="B46" i="26"/>
  <c r="J45" i="26"/>
  <c r="G45" i="26"/>
  <c r="F45" i="26"/>
  <c r="B45" i="26"/>
  <c r="J44" i="26"/>
  <c r="G44" i="26"/>
  <c r="F44" i="26"/>
  <c r="B44" i="26"/>
  <c r="J43" i="26"/>
  <c r="G43" i="26"/>
  <c r="F43" i="26"/>
  <c r="B43" i="26"/>
  <c r="J42" i="26"/>
  <c r="G42" i="26"/>
  <c r="F42" i="26"/>
  <c r="B42" i="26"/>
  <c r="J41" i="26"/>
  <c r="G41" i="26"/>
  <c r="F41" i="26"/>
  <c r="B41" i="26"/>
  <c r="J40" i="26"/>
  <c r="G40" i="26"/>
  <c r="F40" i="26"/>
  <c r="B40" i="26"/>
  <c r="J39" i="26"/>
  <c r="G39" i="26"/>
  <c r="F39" i="26"/>
  <c r="B39" i="26"/>
  <c r="J38" i="26"/>
  <c r="G38" i="26"/>
  <c r="F38" i="26"/>
  <c r="B38" i="26"/>
  <c r="J37" i="26"/>
  <c r="G37" i="26"/>
  <c r="F37" i="26"/>
  <c r="B37" i="26"/>
  <c r="J36" i="26"/>
  <c r="G36" i="26"/>
  <c r="F36" i="26"/>
  <c r="B36" i="26"/>
  <c r="J35" i="26"/>
  <c r="G35" i="26"/>
  <c r="F35" i="26"/>
  <c r="B35" i="26"/>
  <c r="J34" i="26"/>
  <c r="G34" i="26"/>
  <c r="F34" i="26"/>
  <c r="B34" i="26"/>
  <c r="J33" i="26"/>
  <c r="G33" i="26"/>
  <c r="F33" i="26"/>
  <c r="B33" i="26"/>
  <c r="J32" i="26"/>
  <c r="G32" i="26"/>
  <c r="F32" i="26"/>
  <c r="B32" i="26"/>
  <c r="J31" i="26"/>
  <c r="I31" i="26"/>
  <c r="H31" i="26"/>
  <c r="G31" i="26"/>
  <c r="J30" i="26"/>
  <c r="G30" i="26"/>
  <c r="B30" i="26"/>
  <c r="J29" i="26"/>
  <c r="G29" i="26"/>
  <c r="B29" i="26"/>
  <c r="J28" i="26"/>
  <c r="I28" i="26"/>
  <c r="G28" i="26"/>
  <c r="J27" i="26"/>
  <c r="I27" i="26"/>
  <c r="G27" i="26"/>
  <c r="F27" i="26"/>
  <c r="J26" i="26"/>
  <c r="G26" i="26"/>
  <c r="J25" i="26"/>
  <c r="I25" i="26"/>
  <c r="G25" i="26"/>
  <c r="F25" i="26"/>
  <c r="J24" i="26"/>
  <c r="G24" i="26"/>
  <c r="J23" i="26"/>
  <c r="I23" i="26"/>
  <c r="G23" i="26"/>
  <c r="F23" i="26"/>
  <c r="IV22" i="26"/>
  <c r="J22" i="26"/>
  <c r="G22" i="26"/>
  <c r="J21" i="26"/>
  <c r="I21" i="26"/>
  <c r="G21" i="26"/>
  <c r="F21" i="26"/>
  <c r="J20" i="26"/>
  <c r="G20" i="26"/>
  <c r="F20" i="26"/>
  <c r="J19" i="26"/>
  <c r="I19" i="26"/>
  <c r="G19" i="26"/>
  <c r="J18" i="26"/>
  <c r="G18" i="26"/>
  <c r="J17" i="26"/>
  <c r="G17" i="26"/>
  <c r="D17" i="26"/>
  <c r="J16" i="26"/>
  <c r="G16" i="26"/>
  <c r="F16" i="26"/>
  <c r="D16" i="26"/>
  <c r="J15" i="26"/>
  <c r="G15" i="26"/>
  <c r="F15" i="26"/>
  <c r="J14" i="26"/>
  <c r="G14" i="26"/>
  <c r="J13" i="26"/>
  <c r="I13" i="26"/>
  <c r="G13" i="26"/>
  <c r="F13" i="26"/>
  <c r="J12" i="26"/>
  <c r="G12" i="26"/>
  <c r="D12" i="26"/>
  <c r="J11" i="26"/>
  <c r="G11" i="26"/>
  <c r="F11" i="26"/>
  <c r="J10" i="26"/>
  <c r="G10" i="26"/>
  <c r="D10" i="26"/>
  <c r="J9" i="26"/>
  <c r="I9" i="26"/>
  <c r="G9" i="26"/>
  <c r="F9" i="26"/>
  <c r="J8" i="26"/>
  <c r="G8" i="26"/>
  <c r="F8" i="26"/>
  <c r="D8" i="26"/>
  <c r="J7" i="26"/>
  <c r="G7" i="26"/>
  <c r="F7" i="26"/>
  <c r="J6" i="26"/>
  <c r="G6" i="26"/>
  <c r="F6" i="26"/>
  <c r="M33" i="29"/>
  <c r="K32" i="29"/>
  <c r="K33" i="29" s="1"/>
  <c r="H32" i="29"/>
  <c r="G32" i="29"/>
  <c r="G33" i="29" s="1"/>
  <c r="F32" i="29"/>
  <c r="F33" i="29" s="1"/>
  <c r="I31" i="29"/>
  <c r="H31" i="29"/>
  <c r="H33" i="29" s="1"/>
  <c r="G31" i="29"/>
  <c r="L28" i="29"/>
  <c r="K28" i="29"/>
  <c r="I28" i="29"/>
  <c r="H28" i="29"/>
  <c r="G28" i="29"/>
  <c r="F28" i="29"/>
  <c r="N27" i="29"/>
  <c r="M27" i="29"/>
  <c r="L27" i="29"/>
  <c r="K27" i="29"/>
  <c r="I27" i="29"/>
  <c r="L26" i="29"/>
  <c r="L25" i="29"/>
  <c r="K25" i="29"/>
  <c r="H25" i="29"/>
  <c r="G25" i="29"/>
  <c r="F25" i="29"/>
  <c r="L24" i="29"/>
  <c r="I24" i="29"/>
  <c r="L23" i="29"/>
  <c r="K23" i="29"/>
  <c r="I23" i="29"/>
  <c r="H23" i="29"/>
  <c r="L22" i="29"/>
  <c r="K22" i="29"/>
  <c r="I22" i="29"/>
  <c r="H22" i="29"/>
  <c r="G22" i="29"/>
  <c r="F22" i="29"/>
  <c r="M21" i="29"/>
  <c r="K21" i="29"/>
  <c r="L19" i="29"/>
  <c r="K19" i="29"/>
  <c r="I19" i="29"/>
  <c r="H19" i="29"/>
  <c r="G19" i="29"/>
  <c r="F19" i="29"/>
  <c r="I18" i="29"/>
  <c r="I32" i="29" s="1"/>
  <c r="I33" i="29" s="1"/>
  <c r="H18" i="29"/>
  <c r="L16" i="29"/>
  <c r="K16" i="29"/>
  <c r="I16" i="29"/>
  <c r="G16" i="29"/>
  <c r="F16" i="29"/>
  <c r="L15" i="29"/>
  <c r="K15" i="29"/>
  <c r="I15" i="29"/>
  <c r="L14" i="29"/>
  <c r="I14" i="29"/>
  <c r="I13" i="29"/>
  <c r="H13" i="29"/>
  <c r="G13" i="29"/>
  <c r="F13" i="29"/>
  <c r="L12" i="29"/>
  <c r="I12" i="29"/>
  <c r="H12" i="29"/>
  <c r="G12" i="29"/>
  <c r="L11" i="29"/>
  <c r="L10" i="29"/>
  <c r="K10" i="29"/>
  <c r="I10" i="29"/>
  <c r="H10" i="29"/>
  <c r="G10" i="29"/>
  <c r="C10" i="29"/>
  <c r="K9" i="29"/>
  <c r="I9" i="29"/>
  <c r="K8" i="29"/>
  <c r="I8" i="29"/>
  <c r="H8" i="29"/>
  <c r="G8" i="29"/>
  <c r="L7" i="29"/>
  <c r="I7" i="29"/>
  <c r="H7" i="29"/>
  <c r="G7" i="29"/>
  <c r="L145" i="28"/>
  <c r="L146" i="28" s="1"/>
  <c r="H27" i="6" s="1"/>
  <c r="H29" i="6" s="1"/>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M103" i="28"/>
  <c r="G103" i="28"/>
  <c r="G102" i="28"/>
  <c r="G101" i="28"/>
  <c r="G100" i="28"/>
  <c r="G99" i="28"/>
  <c r="G98" i="28"/>
  <c r="G97" i="28"/>
  <c r="G96" i="28"/>
  <c r="G95" i="28"/>
  <c r="M91" i="28"/>
  <c r="G90" i="28"/>
  <c r="G89" i="28"/>
  <c r="G88" i="28"/>
  <c r="G87" i="28"/>
  <c r="G86" i="28"/>
  <c r="G85" i="28"/>
  <c r="G84" i="28"/>
  <c r="G83" i="28"/>
  <c r="G82" i="28"/>
  <c r="G81" i="28"/>
  <c r="G80" i="28"/>
  <c r="G79" i="28"/>
  <c r="G78" i="28"/>
  <c r="G77" i="28"/>
  <c r="G76" i="28"/>
  <c r="G75" i="28"/>
  <c r="G74" i="28"/>
  <c r="G73" i="28"/>
  <c r="G72" i="28"/>
  <c r="G71" i="28"/>
  <c r="G70" i="28"/>
  <c r="G69" i="28"/>
  <c r="L68" i="28"/>
  <c r="G68" i="28"/>
  <c r="G67" i="28"/>
  <c r="G66" i="28"/>
  <c r="L65" i="28"/>
  <c r="L91" i="28" s="1"/>
  <c r="G65" i="28"/>
  <c r="G64" i="28"/>
  <c r="G63" i="28"/>
  <c r="G62" i="28"/>
  <c r="G61" i="28"/>
  <c r="G60" i="28"/>
  <c r="G59" i="28"/>
  <c r="G58" i="28"/>
  <c r="G57" i="28"/>
  <c r="E57" i="28"/>
  <c r="E58" i="28" s="1"/>
  <c r="G56" i="28"/>
  <c r="I56" i="28" s="1"/>
  <c r="J56" i="28" s="1"/>
  <c r="G55" i="28"/>
  <c r="I55" i="28" s="1"/>
  <c r="G54" i="28"/>
  <c r="I54" i="28" s="1"/>
  <c r="G53" i="28"/>
  <c r="I53" i="28" s="1"/>
  <c r="M52" i="28"/>
  <c r="L52" i="28"/>
  <c r="I51" i="28"/>
  <c r="I50" i="28"/>
  <c r="J50" i="28" s="1"/>
  <c r="K50" i="28" s="1"/>
  <c r="I49" i="28"/>
  <c r="I48" i="28"/>
  <c r="J48" i="28" s="1"/>
  <c r="K48" i="28" s="1"/>
  <c r="I47" i="28"/>
  <c r="G46" i="28"/>
  <c r="G45" i="28"/>
  <c r="G44" i="28"/>
  <c r="G43" i="28"/>
  <c r="I43" i="28" s="1"/>
  <c r="G42" i="28"/>
  <c r="G41" i="28"/>
  <c r="E40" i="28"/>
  <c r="I40" i="28" s="1"/>
  <c r="G39" i="28"/>
  <c r="G38" i="28"/>
  <c r="I38" i="28" s="1"/>
  <c r="G37" i="28"/>
  <c r="G36" i="28"/>
  <c r="I35" i="28"/>
  <c r="I34" i="28"/>
  <c r="M33" i="28"/>
  <c r="L33" i="28"/>
  <c r="I32" i="28"/>
  <c r="K32" i="28" s="1"/>
  <c r="I31" i="28"/>
  <c r="J31" i="28" s="1"/>
  <c r="K31" i="28" s="1"/>
  <c r="I30" i="28"/>
  <c r="I29" i="28"/>
  <c r="I28" i="28"/>
  <c r="K28" i="28" s="1"/>
  <c r="G27" i="28"/>
  <c r="G25" i="28"/>
  <c r="E25" i="28"/>
  <c r="I25" i="28" s="1"/>
  <c r="G24" i="28"/>
  <c r="J23" i="28"/>
  <c r="G23" i="28"/>
  <c r="I23" i="28" s="1"/>
  <c r="G22" i="28"/>
  <c r="G21" i="28"/>
  <c r="G20" i="28"/>
  <c r="I19" i="28"/>
  <c r="J19" i="28" s="1"/>
  <c r="K19" i="28" s="1"/>
  <c r="G18" i="28"/>
  <c r="I18" i="28" s="1"/>
  <c r="G17" i="28"/>
  <c r="I16" i="28"/>
  <c r="J16" i="28" s="1"/>
  <c r="K16" i="28" s="1"/>
  <c r="I15" i="28"/>
  <c r="I14" i="28"/>
  <c r="M13" i="28"/>
  <c r="I12" i="28"/>
  <c r="J12" i="28" s="1"/>
  <c r="G11" i="28"/>
  <c r="G10" i="28"/>
  <c r="I9" i="28"/>
  <c r="J9" i="28" s="1"/>
  <c r="I8" i="28"/>
  <c r="J8" i="28" s="1"/>
  <c r="J7" i="28"/>
  <c r="G6" i="28"/>
  <c r="G5" i="28"/>
  <c r="I5" i="28" s="1"/>
  <c r="J5" i="28" s="1"/>
  <c r="I4" i="28"/>
  <c r="J30" i="6"/>
  <c r="J29" i="6"/>
  <c r="J25" i="6"/>
  <c r="I25" i="6"/>
  <c r="G25" i="6"/>
  <c r="F25" i="6"/>
  <c r="E25" i="6"/>
  <c r="D25" i="6"/>
  <c r="J24" i="6"/>
  <c r="I24" i="6"/>
  <c r="G24" i="6"/>
  <c r="F24" i="6"/>
  <c r="E24" i="6"/>
  <c r="D24" i="6"/>
  <c r="J23" i="6"/>
  <c r="I23" i="6"/>
  <c r="H23" i="6"/>
  <c r="G23" i="6"/>
  <c r="J22" i="6"/>
  <c r="J21" i="6"/>
  <c r="H21" i="6"/>
  <c r="G21" i="6"/>
  <c r="L20" i="6"/>
  <c r="J20" i="6"/>
  <c r="G19" i="6"/>
  <c r="F19" i="6"/>
  <c r="J13" i="6"/>
  <c r="H13" i="6"/>
  <c r="G13" i="6"/>
  <c r="F13" i="6"/>
  <c r="E13" i="6"/>
  <c r="D13" i="6"/>
  <c r="J12" i="6"/>
  <c r="H12" i="6"/>
  <c r="G12" i="6"/>
  <c r="F12" i="6"/>
  <c r="E12" i="6"/>
  <c r="D12" i="6"/>
  <c r="J10" i="6"/>
  <c r="H9" i="6"/>
  <c r="G9" i="6"/>
  <c r="F9" i="6"/>
  <c r="M11" i="15"/>
  <c r="M13" i="15" s="1"/>
  <c r="L11" i="15"/>
  <c r="L13" i="15" s="1"/>
  <c r="J11" i="15"/>
  <c r="J13" i="15" s="1"/>
  <c r="I11" i="15"/>
  <c r="I13" i="15" s="1"/>
  <c r="P10" i="15"/>
  <c r="O10" i="15"/>
  <c r="P9" i="15"/>
  <c r="O9" i="15"/>
  <c r="D9" i="15"/>
  <c r="P8" i="15"/>
  <c r="O8" i="15"/>
  <c r="D8" i="15"/>
  <c r="P7" i="15"/>
  <c r="O7" i="15"/>
  <c r="P6" i="15"/>
  <c r="P11" i="15" s="1"/>
  <c r="N11" i="15"/>
  <c r="N13" i="15" s="1"/>
  <c r="K11" i="15"/>
  <c r="K13" i="15" s="1"/>
  <c r="D6" i="15"/>
  <c r="M45" i="8"/>
  <c r="N42" i="8"/>
  <c r="K42" i="8"/>
  <c r="I42" i="8"/>
  <c r="O39" i="8"/>
  <c r="O42" i="8" s="1"/>
  <c r="G28" i="8"/>
  <c r="L28" i="8" s="1"/>
  <c r="L27" i="8"/>
  <c r="M27" i="8" s="1"/>
  <c r="P27" i="8" s="1"/>
  <c r="M6" i="8"/>
  <c r="G6" i="8"/>
  <c r="G7" i="8" s="1"/>
  <c r="M5" i="8"/>
  <c r="G5" i="8"/>
  <c r="O34" i="31"/>
  <c r="N34" i="31"/>
  <c r="I34" i="31"/>
  <c r="D34" i="31"/>
  <c r="O33" i="31"/>
  <c r="O32" i="31"/>
  <c r="O31" i="31"/>
  <c r="N31" i="31"/>
  <c r="D31" i="31"/>
  <c r="O30" i="31"/>
  <c r="D30" i="31"/>
  <c r="O29" i="31"/>
  <c r="O28" i="31"/>
  <c r="O27" i="31"/>
  <c r="N27" i="31"/>
  <c r="D27" i="31"/>
  <c r="O26" i="31"/>
  <c r="O25" i="31"/>
  <c r="D25" i="31"/>
  <c r="M13" i="31"/>
  <c r="D13" i="31"/>
  <c r="O12" i="31"/>
  <c r="O11" i="31"/>
  <c r="N11" i="31"/>
  <c r="D11" i="31"/>
  <c r="O10" i="31"/>
  <c r="D10" i="31"/>
  <c r="O9" i="31"/>
  <c r="O8" i="31"/>
  <c r="O7" i="31"/>
  <c r="M7" i="31"/>
  <c r="L7" i="31"/>
  <c r="K7" i="31"/>
  <c r="H7" i="31"/>
  <c r="D7" i="31"/>
  <c r="O6" i="31"/>
  <c r="O5" i="31"/>
  <c r="D5" i="31"/>
  <c r="I57" i="28" l="1"/>
  <c r="J57" i="28" s="1"/>
  <c r="K57" i="28" s="1"/>
  <c r="K23" i="28"/>
  <c r="K56" i="28"/>
  <c r="G52" i="28"/>
  <c r="J18" i="28"/>
  <c r="K18" i="28" s="1"/>
  <c r="J25" i="28"/>
  <c r="K25" i="28" s="1"/>
  <c r="J40" i="28"/>
  <c r="K40" i="28" s="1"/>
  <c r="E60" i="28"/>
  <c r="I58" i="28"/>
  <c r="J58" i="28" s="1"/>
  <c r="E59" i="28"/>
  <c r="J4" i="28"/>
  <c r="I11" i="28"/>
  <c r="J11" i="28" s="1"/>
  <c r="G13" i="28"/>
  <c r="J15" i="28"/>
  <c r="K15" i="28" s="1"/>
  <c r="J30" i="28"/>
  <c r="K30" i="28" s="1"/>
  <c r="I36" i="28"/>
  <c r="J36" i="28" s="1"/>
  <c r="I37" i="28"/>
  <c r="J37" i="28" s="1"/>
  <c r="I39" i="28"/>
  <c r="J39" i="28" s="1"/>
  <c r="I41" i="28"/>
  <c r="J41" i="28" s="1"/>
  <c r="I42" i="28"/>
  <c r="I44" i="28"/>
  <c r="J44" i="28" s="1"/>
  <c r="I45" i="28"/>
  <c r="I46" i="28"/>
  <c r="J46" i="28" s="1"/>
  <c r="J53" i="28"/>
  <c r="K53" i="28" s="1"/>
  <c r="J54" i="28"/>
  <c r="K54" i="28" s="1"/>
  <c r="J55" i="28"/>
  <c r="K55" i="28" s="1"/>
  <c r="I6" i="28"/>
  <c r="J6" i="28" s="1"/>
  <c r="I10" i="28"/>
  <c r="J10" i="28" s="1"/>
  <c r="J14" i="28"/>
  <c r="K14" i="28" s="1"/>
  <c r="I20" i="28"/>
  <c r="J20" i="28" s="1"/>
  <c r="I21" i="28"/>
  <c r="I22" i="28"/>
  <c r="I24" i="28"/>
  <c r="J24" i="28" s="1"/>
  <c r="E26" i="28"/>
  <c r="J29" i="28"/>
  <c r="K29" i="28" s="1"/>
  <c r="J35" i="28"/>
  <c r="K35" i="28" s="1"/>
  <c r="I17" i="28"/>
  <c r="J34" i="28"/>
  <c r="K34" i="28" s="1"/>
  <c r="J49" i="28"/>
  <c r="K49" i="28" s="1"/>
  <c r="G144" i="28"/>
  <c r="P13" i="15"/>
  <c r="D14" i="15" s="1"/>
  <c r="G8" i="8"/>
  <c r="L8" i="8" s="1"/>
  <c r="L7" i="8"/>
  <c r="M7" i="8" s="1"/>
  <c r="M28" i="8"/>
  <c r="G29" i="8"/>
  <c r="O15" i="31"/>
  <c r="F6" i="34"/>
  <c r="O6" i="15"/>
  <c r="O11" i="15" s="1"/>
  <c r="O13" i="15" s="1"/>
  <c r="N13" i="31"/>
  <c r="O13" i="31"/>
  <c r="O37" i="31" s="1"/>
  <c r="J51" i="28"/>
  <c r="B69" i="28"/>
  <c r="B131" i="28" l="1"/>
  <c r="J38" i="28"/>
  <c r="K38" i="28" s="1"/>
  <c r="K36" i="28"/>
  <c r="E61" i="28"/>
  <c r="I59" i="28"/>
  <c r="I26" i="28"/>
  <c r="E27" i="28"/>
  <c r="I27" i="28" s="1"/>
  <c r="K58" i="28"/>
  <c r="K41" i="28"/>
  <c r="I52" i="28"/>
  <c r="K39" i="28"/>
  <c r="J43" i="28"/>
  <c r="K43" i="28" s="1"/>
  <c r="I13" i="28"/>
  <c r="K13" i="28" s="1"/>
  <c r="E62" i="28"/>
  <c r="I60" i="28"/>
  <c r="J42" i="28"/>
  <c r="K20" i="28"/>
  <c r="K46" i="28"/>
  <c r="K24" i="28"/>
  <c r="K51" i="28"/>
  <c r="J17" i="28"/>
  <c r="K17" i="28" s="1"/>
  <c r="K44" i="28"/>
  <c r="J47" i="28"/>
  <c r="K47" i="28" s="1"/>
  <c r="K37" i="28"/>
  <c r="J45" i="28"/>
  <c r="K45" i="28" s="1"/>
  <c r="J21" i="28"/>
  <c r="K21" i="28" s="1"/>
  <c r="J22" i="28"/>
  <c r="K22" i="28" s="1"/>
  <c r="M8" i="8"/>
  <c r="G9" i="8"/>
  <c r="P28" i="8"/>
  <c r="L29" i="8"/>
  <c r="G30" i="8"/>
  <c r="F22" i="34"/>
  <c r="H15" i="34"/>
  <c r="J52" i="28" l="1"/>
  <c r="K52" i="28" s="1"/>
  <c r="J27" i="28"/>
  <c r="K27" i="28" s="1"/>
  <c r="J60" i="28"/>
  <c r="K60" i="28" s="1"/>
  <c r="K42" i="28"/>
  <c r="E64" i="28"/>
  <c r="I62" i="28"/>
  <c r="J59" i="28"/>
  <c r="K59" i="28" s="1"/>
  <c r="J26" i="28"/>
  <c r="K26" i="28" s="1"/>
  <c r="I33" i="28"/>
  <c r="E63" i="28"/>
  <c r="I63" i="28" s="1"/>
  <c r="I61" i="28"/>
  <c r="G10" i="8"/>
  <c r="L9" i="8"/>
  <c r="M9" i="8" s="1"/>
  <c r="M29" i="8"/>
  <c r="L30" i="8"/>
  <c r="M30" i="8" s="1"/>
  <c r="P30" i="8" s="1"/>
  <c r="G31" i="8"/>
  <c r="J33" i="28" l="1"/>
  <c r="K33" i="28" s="1"/>
  <c r="J61" i="28"/>
  <c r="K61" i="28" s="1"/>
  <c r="I64" i="28"/>
  <c r="E65" i="28"/>
  <c r="J63" i="28"/>
  <c r="K63" i="28" s="1"/>
  <c r="J62" i="28"/>
  <c r="K62" i="28" s="1"/>
  <c r="L10" i="8"/>
  <c r="M10" i="8" s="1"/>
  <c r="G11" i="8"/>
  <c r="L31" i="8"/>
  <c r="M31" i="8" s="1"/>
  <c r="P31" i="8" s="1"/>
  <c r="G32" i="8"/>
  <c r="P29" i="8"/>
  <c r="E66" i="28" l="1"/>
  <c r="I65" i="28"/>
  <c r="J64" i="28"/>
  <c r="K64" i="28" s="1"/>
  <c r="G12" i="8"/>
  <c r="L11" i="8"/>
  <c r="M11" i="8" s="1"/>
  <c r="L32" i="8"/>
  <c r="G33" i="8"/>
  <c r="J65" i="28" l="1"/>
  <c r="K65" i="28" s="1"/>
  <c r="I66" i="28"/>
  <c r="E67" i="28"/>
  <c r="L12" i="8"/>
  <c r="M12" i="8" s="1"/>
  <c r="G13" i="8"/>
  <c r="M32" i="8"/>
  <c r="L33" i="8"/>
  <c r="M33" i="8" s="1"/>
  <c r="P33" i="8" s="1"/>
  <c r="G34" i="8"/>
  <c r="J66" i="28" l="1"/>
  <c r="K66" i="28" s="1"/>
  <c r="I67" i="28"/>
  <c r="E68" i="28"/>
  <c r="G14" i="8"/>
  <c r="L13" i="8"/>
  <c r="M13" i="8" s="1"/>
  <c r="L34" i="8"/>
  <c r="M34" i="8" s="1"/>
  <c r="P34" i="8" s="1"/>
  <c r="G36" i="8"/>
  <c r="G35" i="8"/>
  <c r="L35" i="8" s="1"/>
  <c r="M35" i="8" s="1"/>
  <c r="P35" i="8" s="1"/>
  <c r="P32" i="8"/>
  <c r="E69" i="28" l="1"/>
  <c r="I68" i="28"/>
  <c r="J67" i="28"/>
  <c r="K67" i="28" s="1"/>
  <c r="G15" i="8"/>
  <c r="L14" i="8"/>
  <c r="L36" i="8"/>
  <c r="M36" i="8" s="1"/>
  <c r="P36" i="8" s="1"/>
  <c r="G37" i="8"/>
  <c r="J68" i="28" l="1"/>
  <c r="K68" i="28" s="1"/>
  <c r="I69" i="28"/>
  <c r="E70" i="28"/>
  <c r="M14" i="8"/>
  <c r="L15" i="8"/>
  <c r="M15" i="8" s="1"/>
  <c r="G16" i="8"/>
  <c r="L16" i="8" s="1"/>
  <c r="M16" i="8" s="1"/>
  <c r="L37" i="8"/>
  <c r="M37" i="8" s="1"/>
  <c r="G38" i="8"/>
  <c r="J69" i="28" l="1"/>
  <c r="K69" i="28" s="1"/>
  <c r="I70" i="28"/>
  <c r="E71" i="28"/>
  <c r="L17" i="8"/>
  <c r="M17" i="8"/>
  <c r="L38" i="8"/>
  <c r="M38" i="8" s="1"/>
  <c r="P38" i="8" s="1"/>
  <c r="G39" i="8"/>
  <c r="P37" i="8"/>
  <c r="E72" i="28" l="1"/>
  <c r="I71" i="28"/>
  <c r="J70" i="28"/>
  <c r="K70" i="28" s="1"/>
  <c r="G40" i="8"/>
  <c r="L39" i="8"/>
  <c r="M39" i="8" s="1"/>
  <c r="P39" i="8" s="1"/>
  <c r="J71" i="28" l="1"/>
  <c r="K71" i="28" s="1"/>
  <c r="I72" i="28"/>
  <c r="E73" i="28"/>
  <c r="L40" i="8"/>
  <c r="M40" i="8" s="1"/>
  <c r="P40" i="8" s="1"/>
  <c r="G41" i="8"/>
  <c r="I73" i="28" l="1"/>
  <c r="E74" i="28"/>
  <c r="J72" i="28"/>
  <c r="K72" i="28" s="1"/>
  <c r="L41" i="8"/>
  <c r="I74" i="28" l="1"/>
  <c r="E75" i="28"/>
  <c r="J73" i="28"/>
  <c r="K73" i="28" s="1"/>
  <c r="M41" i="8"/>
  <c r="L42" i="8"/>
  <c r="E76" i="28" l="1"/>
  <c r="I75" i="28"/>
  <c r="J74" i="28"/>
  <c r="K74" i="28" s="1"/>
  <c r="P41" i="8"/>
  <c r="P42" i="8" s="1"/>
  <c r="M42" i="8"/>
  <c r="J75" i="28" l="1"/>
  <c r="K75" i="28" s="1"/>
  <c r="I76" i="28"/>
  <c r="E77" i="28"/>
  <c r="I77" i="28" l="1"/>
  <c r="E78" i="28"/>
  <c r="J76" i="28"/>
  <c r="K76" i="28" s="1"/>
  <c r="I78" i="28" l="1"/>
  <c r="E79" i="28"/>
  <c r="J77" i="28"/>
  <c r="K77" i="28" s="1"/>
  <c r="E80" i="28" l="1"/>
  <c r="I79" i="28"/>
  <c r="J78" i="28"/>
  <c r="K78" i="28" s="1"/>
  <c r="J79" i="28" l="1"/>
  <c r="K79" i="28" s="1"/>
  <c r="I80" i="28"/>
  <c r="E81" i="28"/>
  <c r="I81" i="28" l="1"/>
  <c r="E82" i="28"/>
  <c r="J80" i="28"/>
  <c r="K80" i="28" s="1"/>
  <c r="I82" i="28" l="1"/>
  <c r="E83" i="28"/>
  <c r="J81" i="28"/>
  <c r="K81" i="28" s="1"/>
  <c r="E84" i="28" l="1"/>
  <c r="I83" i="28"/>
  <c r="J82" i="28"/>
  <c r="K82" i="28" s="1"/>
  <c r="J83" i="28" l="1"/>
  <c r="K83" i="28" s="1"/>
  <c r="I84" i="28"/>
  <c r="E85" i="28"/>
  <c r="J84" i="28" l="1"/>
  <c r="K84" i="28" s="1"/>
  <c r="I85" i="28"/>
  <c r="E86" i="28"/>
  <c r="I86" i="28" l="1"/>
  <c r="E87" i="28"/>
  <c r="J85" i="28"/>
  <c r="K85" i="28" s="1"/>
  <c r="E88" i="28" l="1"/>
  <c r="I87" i="28"/>
  <c r="J86" i="28"/>
  <c r="K86" i="28" s="1"/>
  <c r="N114" i="8"/>
  <c r="J87" i="28" l="1"/>
  <c r="K87" i="28" s="1"/>
  <c r="E89" i="28"/>
  <c r="I88" i="28"/>
  <c r="E90" i="28" l="1"/>
  <c r="I89" i="28"/>
  <c r="J89" i="28" s="1"/>
  <c r="K89" i="28" s="1"/>
  <c r="J88" i="28"/>
  <c r="K88" i="28" s="1"/>
  <c r="E92" i="28" l="1"/>
  <c r="I90" i="28"/>
  <c r="J90" i="28" l="1"/>
  <c r="K90" i="28" s="1"/>
  <c r="I91" i="28"/>
  <c r="E93" i="28"/>
  <c r="I92" i="28"/>
  <c r="K91" i="28" l="1"/>
  <c r="J92" i="28"/>
  <c r="E94" i="28"/>
  <c r="I93" i="28"/>
  <c r="J93" i="28" s="1"/>
  <c r="K93" i="28" s="1"/>
  <c r="K92" i="28" l="1"/>
  <c r="I94" i="28"/>
  <c r="J94" i="28" s="1"/>
  <c r="K94" i="28" s="1"/>
  <c r="E95" i="28"/>
  <c r="I95" i="28" l="1"/>
  <c r="E96" i="28"/>
  <c r="E97" i="28" l="1"/>
  <c r="I96" i="28"/>
  <c r="K96" i="28" s="1"/>
  <c r="J95" i="28"/>
  <c r="K95" i="28" l="1"/>
  <c r="E98" i="28"/>
  <c r="I97" i="28"/>
  <c r="J97" i="28" l="1"/>
  <c r="E99" i="28"/>
  <c r="I98" i="28"/>
  <c r="J98" i="28" s="1"/>
  <c r="K98" i="28" s="1"/>
  <c r="K97" i="28" l="1"/>
  <c r="E100" i="28"/>
  <c r="I99" i="28"/>
  <c r="J99" i="28" s="1"/>
  <c r="K99" i="28" s="1"/>
  <c r="E101" i="28" l="1"/>
  <c r="I100" i="28"/>
  <c r="J100" i="28" s="1"/>
  <c r="K100" i="28" s="1"/>
  <c r="E102" i="28" l="1"/>
  <c r="I101" i="28"/>
  <c r="J101" i="28" s="1"/>
  <c r="K101" i="28" s="1"/>
  <c r="I102" i="28" l="1"/>
  <c r="J102" i="28" s="1"/>
  <c r="K102" i="28" s="1"/>
  <c r="E103" i="28"/>
  <c r="E104" i="28" l="1"/>
  <c r="I103" i="28"/>
  <c r="J103" i="28" s="1"/>
  <c r="K103" i="28" s="1"/>
  <c r="I104" i="28" l="1"/>
  <c r="J104" i="28" s="1"/>
  <c r="K104" i="28" s="1"/>
  <c r="E105" i="28"/>
  <c r="E106" i="28" l="1"/>
  <c r="I105" i="28"/>
  <c r="J105" i="28" l="1"/>
  <c r="K105" i="28" s="1"/>
  <c r="E107" i="28"/>
  <c r="I106" i="28"/>
  <c r="J106" i="28" s="1"/>
  <c r="K106" i="28" s="1"/>
  <c r="E108" i="28" l="1"/>
  <c r="I107" i="28"/>
  <c r="J107" i="28" s="1"/>
  <c r="K107" i="28" s="1"/>
  <c r="I108" i="28" l="1"/>
  <c r="E109" i="28"/>
  <c r="E110" i="28" l="1"/>
  <c r="I109" i="28"/>
  <c r="J108" i="28"/>
  <c r="K108" i="28" s="1"/>
  <c r="J109" i="28" l="1"/>
  <c r="K109" i="28" s="1"/>
  <c r="I110" i="28"/>
  <c r="J110" i="28" s="1"/>
  <c r="K110" i="28" s="1"/>
  <c r="E111" i="28"/>
  <c r="E112" i="28" l="1"/>
  <c r="I111" i="28"/>
  <c r="J111" i="28" s="1"/>
  <c r="K111" i="28" s="1"/>
  <c r="I112" i="28" l="1"/>
  <c r="J112" i="28" s="1"/>
  <c r="K112" i="28" s="1"/>
  <c r="E113" i="28"/>
  <c r="E114" i="28" l="1"/>
  <c r="I113" i="28"/>
  <c r="J113" i="28" s="1"/>
  <c r="K113" i="28" s="1"/>
  <c r="E115" i="28" l="1"/>
  <c r="I114" i="28"/>
  <c r="J114" i="28" s="1"/>
  <c r="K114" i="28" s="1"/>
  <c r="E116" i="28" l="1"/>
  <c r="I115" i="28"/>
  <c r="J115" i="28" s="1"/>
  <c r="K115" i="28" s="1"/>
  <c r="I116" i="28" l="1"/>
  <c r="J116" i="28" s="1"/>
  <c r="K116" i="28" s="1"/>
  <c r="E117" i="28"/>
  <c r="E118" i="28" l="1"/>
  <c r="I117" i="28"/>
  <c r="J117" i="28" s="1"/>
  <c r="K117" i="28" s="1"/>
  <c r="I118" i="28" l="1"/>
  <c r="J118" i="28" s="1"/>
  <c r="K118" i="28" s="1"/>
  <c r="E119" i="28"/>
  <c r="E120" i="28" l="1"/>
  <c r="I119" i="28"/>
  <c r="J119" i="28" s="1"/>
  <c r="K119" i="28" s="1"/>
  <c r="E121" i="28" l="1"/>
  <c r="I120" i="28"/>
  <c r="J120" i="28" s="1"/>
  <c r="K120" i="28" s="1"/>
  <c r="I121" i="28" l="1"/>
  <c r="J121" i="28" s="1"/>
  <c r="K121" i="28" s="1"/>
  <c r="E122" i="28"/>
  <c r="I122" i="28" l="1"/>
  <c r="J122" i="28" s="1"/>
  <c r="K122" i="28" s="1"/>
  <c r="E123" i="28"/>
  <c r="I123" i="28" l="1"/>
  <c r="J123" i="28" s="1"/>
  <c r="K123" i="28" s="1"/>
  <c r="E124" i="28"/>
  <c r="E125" i="28" l="1"/>
  <c r="I124" i="28"/>
  <c r="J124" i="28" s="1"/>
  <c r="K124" i="28" s="1"/>
  <c r="I125" i="28" l="1"/>
  <c r="J125" i="28" s="1"/>
  <c r="K125" i="28" s="1"/>
  <c r="E126" i="28"/>
  <c r="E127" i="28" l="1"/>
  <c r="I126" i="28"/>
  <c r="J126" i="28" l="1"/>
  <c r="K126" i="28" s="1"/>
  <c r="I127" i="28"/>
  <c r="J127" i="28" s="1"/>
  <c r="K127" i="28" s="1"/>
  <c r="E128" i="28"/>
  <c r="E129" i="28" l="1"/>
  <c r="I128" i="28"/>
  <c r="J128" i="28" s="1"/>
  <c r="K128" i="28" s="1"/>
  <c r="I129" i="28" l="1"/>
  <c r="J129" i="28" s="1"/>
  <c r="K129" i="28" s="1"/>
  <c r="E130" i="28"/>
  <c r="E131" i="28" l="1"/>
  <c r="I130" i="28"/>
  <c r="J130" i="28" s="1"/>
  <c r="K130" i="28" s="1"/>
  <c r="E132" i="28" l="1"/>
  <c r="E134" i="28" s="1"/>
  <c r="I131" i="28"/>
  <c r="J131" i="28" s="1"/>
  <c r="K131" i="28" s="1"/>
  <c r="E135" i="28" l="1"/>
  <c r="I134" i="28"/>
  <c r="J134" i="28"/>
  <c r="I132" i="28"/>
  <c r="J135" i="28" l="1"/>
  <c r="K134" i="28"/>
  <c r="I133" i="28"/>
  <c r="K143" i="28"/>
  <c r="J132" i="28"/>
  <c r="K132" i="28" s="1"/>
  <c r="E142" i="28" l="1"/>
  <c r="I143" i="28"/>
  <c r="J133" i="28"/>
  <c r="J143" i="28" l="1"/>
  <c r="J145" i="28" s="1"/>
  <c r="K145" i="28"/>
  <c r="M143" i="28" l="1"/>
  <c r="G91" i="28"/>
</calcChain>
</file>

<file path=xl/connections.xml><?xml version="1.0" encoding="utf-8"?>
<connections xmlns="http://schemas.openxmlformats.org/spreadsheetml/2006/main">
  <connection id="1" keepAlive="1" name="ThisWorkbookDataModel" description="Модель данных"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қарздории дар назди БМТ!$A$1:$A$13" type="102" refreshedVersion="5" minRefreshableVersion="5">
    <extLst>
      <ext xmlns:x15="http://schemas.microsoft.com/office/spreadsheetml/2010/11/main" uri="{DE250136-89BD-433C-8126-D09CA5730AF9}">
        <x15:connection id="Диапазон-6001b6df-3d5c-448c-8547-2fe6d42f60ff" autoDelete="1">
          <x15:rangePr sourceName="_xlcn.WorksheetConnection_қарздориидарназдиБМТA1A131"/>
        </x15:connection>
      </ext>
    </extLst>
  </connection>
</connections>
</file>

<file path=xl/sharedStrings.xml><?xml version="1.0" encoding="utf-8"?>
<sst xmlns="http://schemas.openxmlformats.org/spreadsheetml/2006/main" count="593" uniqueCount="302">
  <si>
    <t xml:space="preserve">Номгӯи қарз </t>
  </si>
  <si>
    <t xml:space="preserve">Асос </t>
  </si>
  <si>
    <t xml:space="preserve">Маблағи Вексели ба муомилот баровардашуда </t>
  </si>
  <si>
    <t xml:space="preserve"> Соли барориш  </t>
  </si>
  <si>
    <t xml:space="preserve">Мӯҳлати гардиш </t>
  </si>
  <si>
    <t xml:space="preserve"> ҚҲҶТ № 406-18 аз 21.10.2002 сол  </t>
  </si>
  <si>
    <t xml:space="preserve"> Меъёри тавварум +1%  </t>
  </si>
  <si>
    <t>Вексели давлатӣ барои ҷуброни қарзи хоҷагиҳои пахтакор</t>
  </si>
  <si>
    <t xml:space="preserve"> ҚҲҶТ № 17-ф аз 27.02.2010 сол  </t>
  </si>
  <si>
    <t xml:space="preserve"> 2% то соли 2012. баъдан 8%  </t>
  </si>
  <si>
    <t xml:space="preserve">Вексели давлатӣ барои танзими 37 қарзҳои мушкилситони ҶСК "Агроинвестбонк" </t>
  </si>
  <si>
    <t xml:space="preserve"> ҚҲҶТ № 178 аз 30.04.2012 сол  </t>
  </si>
  <si>
    <t xml:space="preserve"> меъёри бозтамвил на зиёда аз 8%  </t>
  </si>
  <si>
    <t xml:space="preserve">Вексели давлатӣ сармоякунонии ҶСК "Тоҷиксодиротбонк" </t>
  </si>
  <si>
    <t xml:space="preserve"> ҚҲҶТ № 527 аз 12.12.2016 сол  </t>
  </si>
  <si>
    <t xml:space="preserve"> 2% хизмарасонии БМ.  </t>
  </si>
  <si>
    <t xml:space="preserve">Вексели давлатӣ сармоякунонии ҶСК "Агроинвестбонк" </t>
  </si>
  <si>
    <t xml:space="preserve">Вексели давлатӣ барои соҳаи энергетика (ҶСК НБО "Роғун") </t>
  </si>
  <si>
    <t xml:space="preserve"> ҚҲҶТ № 165 аз 01.04.2017 сол  </t>
  </si>
  <si>
    <t>Векселњои хазинадории Вазорати молия барои пушонидани касри буҷет</t>
  </si>
  <si>
    <t xml:space="preserve"> ҚҲҶТ № 627  аз 17.11.2009 сол </t>
  </si>
  <si>
    <t>91 рӯз</t>
  </si>
  <si>
    <t>Вомбарги дохилию давлатии бурдноки Вазорати молияи Љумњурии Тољикистон (БДА ҶТ "Амонатбонк")</t>
  </si>
  <si>
    <t xml:space="preserve"> ҚҲҶТ № 669 аз 31.12.2008 сол  </t>
  </si>
  <si>
    <t>бе фоиз</t>
  </si>
  <si>
    <t>1% аз арзиши аслӣ ҳангоми фуруши вомбаргҳо</t>
  </si>
  <si>
    <t>Қарзи Вазорати молия дар назди БМТ</t>
  </si>
  <si>
    <t xml:space="preserve">шартномаи қарзӣ аз 2 майи 2019 сол, № 1/001/19 </t>
  </si>
  <si>
    <t>№</t>
  </si>
  <si>
    <t>ММД</t>
  </si>
  <si>
    <t>Қарзи асосии пардохтшуда</t>
  </si>
  <si>
    <t>Вомбарги хазинадории Вазорати молия</t>
  </si>
  <si>
    <t>ҳазор сомонӣ</t>
  </si>
  <si>
    <t>то 2020</t>
  </si>
  <si>
    <t>то 2019 сол</t>
  </si>
  <si>
    <t xml:space="preserve">то 2017 сол </t>
  </si>
  <si>
    <t xml:space="preserve">то 2022 сол </t>
  </si>
  <si>
    <t xml:space="preserve">то 2021 сол </t>
  </si>
  <si>
    <t xml:space="preserve">то 2020 cол </t>
  </si>
  <si>
    <t xml:space="preserve">то 2018 сол </t>
  </si>
  <si>
    <t>Меъёри фоиз</t>
  </si>
  <si>
    <t xml:space="preserve">Вексели давлатӣ барои сармоякунонии ҶСК "Агроинвестбонк" </t>
  </si>
  <si>
    <t>фонди стаблизационӣ</t>
  </si>
  <si>
    <t>аз ҳисоби 37 корхонаи қарздор</t>
  </si>
  <si>
    <t>аз ҳисоби  ҶСК "Тоҷиксодиротбонк"</t>
  </si>
  <si>
    <t xml:space="preserve">аз ҳисоби хароҷотҳои Буҷети давлатӣ;  </t>
  </si>
  <si>
    <t>аз ҳисоби хароҷотҳои Буҷети давлатӣ, яъне ҳисоббаробаркунӣ бо депозитҳои БМТ</t>
  </si>
  <si>
    <t xml:space="preserve">Сарчашмаҳои пардохт </t>
  </si>
  <si>
    <t>1 сол</t>
  </si>
  <si>
    <t>(бо сомонӣ)</t>
  </si>
  <si>
    <t>Ҳаҷми барориши Вексел</t>
  </si>
  <si>
    <t>Нишондиҳанда</t>
  </si>
  <si>
    <t>Солҳо</t>
  </si>
  <si>
    <t xml:space="preserve">қарзи асосӣ </t>
  </si>
  <si>
    <t>фоиз (2%)</t>
  </si>
  <si>
    <t>Ҳамагӣ пардохт</t>
  </si>
  <si>
    <t>Ҳаҷми барориши вексели давлатии Вазорати молия барои дастгирии соҳаи энергетика (530 000 000 сомонӣ)</t>
  </si>
  <si>
    <t xml:space="preserve">2017 сол </t>
  </si>
  <si>
    <t xml:space="preserve">2018 сол </t>
  </si>
  <si>
    <t xml:space="preserve">2019 сол </t>
  </si>
  <si>
    <t>2020 сол</t>
  </si>
  <si>
    <t>2022 сол</t>
  </si>
  <si>
    <t>пардохтшуда</t>
  </si>
  <si>
    <t>пардохтнашуда</t>
  </si>
  <si>
    <t>Маълумот оиди хизматрасониҳои вексели давлатии Вазорати молия барои дастгирии соҳаи энергетика тибқи ҷадвали созишномаи баимзорасида барои солҳои 2017-2022</t>
  </si>
  <si>
    <t>Тибқи нақша</t>
  </si>
  <si>
    <t>Ҳамагӣ пардохт дар солҳои 2017-2022</t>
  </si>
  <si>
    <t>2017 сол</t>
  </si>
  <si>
    <t>2019 сол</t>
  </si>
  <si>
    <t>Р/т</t>
  </si>
  <si>
    <t>Номгӯи ташкилотњои байналхалќии молиявї</t>
  </si>
  <si>
    <t xml:space="preserve">Векселҳои баровардашуда 
</t>
  </si>
  <si>
    <t>асъори хориҷї</t>
  </si>
  <si>
    <t xml:space="preserve"> сомонї</t>
  </si>
  <si>
    <t>сомонї</t>
  </si>
  <si>
    <t>Ассотсиатсияи байналмилалии рушд (МАР)</t>
  </si>
  <si>
    <t>Бонки байналмилалии таҷдиду тараққиёт (МБРР)</t>
  </si>
  <si>
    <t>Хазинаи байналмилалии асъор (ХБА/МВФ) бо SDR</t>
  </si>
  <si>
    <t>Бонки таҷдиду тараққиёти Аврупо (ЕБРР) бо долл. ИМА</t>
  </si>
  <si>
    <t>Агентии бисёрҷониба оид ба кафолати инвеститсияҳо (МИГА) бо долл. ИМА</t>
  </si>
  <si>
    <t>Фонди зиддибӯҳронии иттиҳоди иқтисодии Авруосиё бо долл. ИМА</t>
  </si>
  <si>
    <t>Ҳамагӣ</t>
  </si>
  <si>
    <t xml:space="preserve"> Доллари ИМА</t>
  </si>
  <si>
    <t xml:space="preserve">СДР </t>
  </si>
  <si>
    <t>Эзоҳ: Вексели оддии бе фоизи Вазорати молия санаи 23 сентябри соли 2014 пурра дар назди Фонди зиддибӯҳронии иттиҳоди иқтисодии Авруосиё ба маблағи 900 000 долл. ИМА  пардохт гардид.</t>
  </si>
  <si>
    <t>Давраи қарз</t>
  </si>
  <si>
    <t>Маблағи қарз</t>
  </si>
  <si>
    <t>Сол</t>
  </si>
  <si>
    <t>Қарзи асосии ҳисобшуда</t>
  </si>
  <si>
    <t>Фоизи ҳисобшуда</t>
  </si>
  <si>
    <t>Ҳамагӣ уҳдадориҳо</t>
  </si>
  <si>
    <t>Х</t>
  </si>
  <si>
    <t>* Эзоҳ: Дар соли 2019 фоизи қарз ба маблағи 23,3 млн. сомонӣ пардохт шуд. Барои солҳои минбаъда фоизи қарз бо дарназардошти пардохт гардидани қарзи асосӣ мутаносибан ба бақияи қарзи асосӣ ҳисоб карда мешавад.</t>
  </si>
  <si>
    <t>Руз</t>
  </si>
  <si>
    <t xml:space="preserve"> </t>
  </si>
  <si>
    <t>(бо ҳазор сомонӣ)</t>
  </si>
  <si>
    <t>Номгӯи қарз</t>
  </si>
  <si>
    <t>Мӯҳлати гардиш</t>
  </si>
  <si>
    <t>Вексели давлатии Вазорати молия барои сармоякунонии ҶСК "Тоҷиксодиротбонк"</t>
  </si>
  <si>
    <t>2021 сол</t>
  </si>
  <si>
    <t>Вексели давлатии Вазорати молия барои сармоякунонии ҶСК "Агроинвестбонк"</t>
  </si>
  <si>
    <t>Вексели  давлатии Вазорати молия барои ҶСК НБО "Роғун"</t>
  </si>
  <si>
    <t>Вомбарги хазинадории Вазорати молияи Љумњурии Тољикистон</t>
  </si>
  <si>
    <t>Вексели давлатии Вазорати молия барои танзими 37 қарзҳои ҶСК "Агроинвестбонк"</t>
  </si>
  <si>
    <t>2020 cол</t>
  </si>
  <si>
    <t xml:space="preserve">1 сол </t>
  </si>
  <si>
    <t xml:space="preserve">ММД бо млн.сомонӣ  </t>
  </si>
  <si>
    <t xml:space="preserve">ММД бо млн.доллари ИМА  </t>
  </si>
  <si>
    <t>Қарзи дохилӣ нисбат ба ММД</t>
  </si>
  <si>
    <t xml:space="preserve">аз ҳисоби  ҶСК "Агроинвестбонк" </t>
  </si>
  <si>
    <t>Вомбаргҳои дарозмуҳлати хазинадории Вазорати молия</t>
  </si>
  <si>
    <t>Векселҳои давлатӣ барои ҷуброни қарзи хоҷагиҳои пахтакор</t>
  </si>
  <si>
    <r>
      <t>(бо  ҳазор сомонӣ) </t>
    </r>
    <r>
      <rPr>
        <b/>
        <i/>
        <sz val="18"/>
        <color rgb="FF000000"/>
        <rFont val="Times New Roman Tj"/>
        <family val="1"/>
        <charset val="204"/>
      </rPr>
      <t xml:space="preserve"> </t>
    </r>
  </si>
  <si>
    <t>тағйирёбанда  (0,99% - 2%)</t>
  </si>
  <si>
    <t>Бақияи қарз</t>
  </si>
  <si>
    <t xml:space="preserve">хизматрасонии қарзи асосӣ </t>
  </si>
  <si>
    <t>хизматрасонии фоизи қарз</t>
  </si>
  <si>
    <t>Қарзи мазкур нисбат ба ММД</t>
  </si>
  <si>
    <t>Қарзи мазкур нисбат ба қарзи дохила (бо фоиз)</t>
  </si>
  <si>
    <t xml:space="preserve">Маълумот оид ба хизматрасонии қарзи Вазорати молия дар назди Бонки миллии Тоҷикистон </t>
  </si>
  <si>
    <t xml:space="preserve">Ҷадвали ҳисоби хизматрасонии қарзи Вазорати молия дар назди Бонки миллии Тоҷикистон </t>
  </si>
  <si>
    <t xml:space="preserve">аз руи Созишномаи иловагӣ аз 31 декабри соли 2019, 1/001/19 ба Шартномаи қарзӣ аз 2 майи 2019 сол, № 1/001/19  </t>
  </si>
  <si>
    <t xml:space="preserve">тибқи Созишномаи иловагии № 1/001/19 аз 31 декабри соли 2019 ба Шартномаи №1/001/19 аз 2 майи соли 2019 </t>
  </si>
  <si>
    <t>млн сомонӣ</t>
  </si>
  <si>
    <t xml:space="preserve">Маълумот оид ба ҳисоботи фоизҳои ҳисобшуда аз рӯи Векселҳои давлатӣ (500 млн.сомонӣ) </t>
  </si>
  <si>
    <t>Маблағи вексел</t>
  </si>
  <si>
    <t>Андозаи % меъёри бозтамвил                          (на зиёда аз 8%)</t>
  </si>
  <si>
    <t>миқдори рӯз</t>
  </si>
  <si>
    <t xml:space="preserve">Маблағи пардохтшуда </t>
  </si>
  <si>
    <t>Бақияи фоиз</t>
  </si>
  <si>
    <t>Қарзи асосӣ</t>
  </si>
  <si>
    <t>Фоиз</t>
  </si>
  <si>
    <t>Ҷамъ</t>
  </si>
  <si>
    <t>Қурби асъор нисбат ба сомонӣ</t>
  </si>
  <si>
    <t>Қарзи Вазорати молия дар назди Бонки миллии Тоҷикистон</t>
  </si>
  <si>
    <r>
      <t xml:space="preserve">                                                                                                                                                                                                                                                                                        (бо  ҳазор сомонӣ) </t>
    </r>
    <r>
      <rPr>
        <b/>
        <i/>
        <sz val="12"/>
        <color rgb="FF000000"/>
        <rFont val="Times New Roman Tj"/>
        <family val="1"/>
        <charset val="204"/>
      </rPr>
      <t xml:space="preserve"> </t>
    </r>
  </si>
  <si>
    <t>Вексели давлатии Вазорати молияи Љумњурии Тољикистон барои хољагињои пахтакор</t>
  </si>
  <si>
    <t xml:space="preserve">Фарқият </t>
  </si>
  <si>
    <t xml:space="preserve"> 2% хизмарасонии БМТ.  </t>
  </si>
  <si>
    <t xml:space="preserve"> 2% то соли 2012, баъдан 8%  </t>
  </si>
  <si>
    <t>Ҳамагӣ бо назардошти Векселҳои хазинадорӣ</t>
  </si>
  <si>
    <t xml:space="preserve">Фоизи қарз   </t>
  </si>
  <si>
    <t xml:space="preserve">Ҳамагӣ пардохт  </t>
  </si>
  <si>
    <t>маблағҳои ҳисобшуда тибқи нақша</t>
  </si>
  <si>
    <t>қарзи асосӣ</t>
  </si>
  <si>
    <t>Қарзи дохила нисбат ба ММД %</t>
  </si>
  <si>
    <t>Қарзи дохила бо ҳазор доллари ИМА.</t>
  </si>
  <si>
    <t>ММД бо ҳазор сомонӣ</t>
  </si>
  <si>
    <t>Боқимондаи қарз ба 01.10.2020 с. Бо назардошти (1 200 млн.)</t>
  </si>
  <si>
    <t>Вомбаргҳои хазинадории Вазорати молия</t>
  </si>
  <si>
    <t xml:space="preserve">Векселҳои давлатӣ сармоякунонии ҶСК "Агроинвестбонк" </t>
  </si>
  <si>
    <t xml:space="preserve">Векселҳои давлатӣ сармоякунонии ҶСК "Тоҷиксодиротбонк" </t>
  </si>
  <si>
    <t>фоизи пардохтшуда</t>
  </si>
  <si>
    <t>қурби 1 доллари ИМА нисбат ба сомонӣ</t>
  </si>
  <si>
    <t>Ҷамъ: Қарзи дохилии 
Ҷумҳурии Тоҷикистон</t>
  </si>
  <si>
    <t>Нишондиҳандаҳо</t>
  </si>
  <si>
    <t xml:space="preserve">фарқият </t>
  </si>
  <si>
    <t>ба ҳолати 31 декабри соли 2020</t>
  </si>
  <si>
    <t>Бонки осиёгии Рушд (АБР) бо сомонӣ</t>
  </si>
  <si>
    <t>Қарзи дохилӣ бо ҳазор доллари ИМА.</t>
  </si>
  <si>
    <t xml:space="preserve">Хизматрасонии иҷрошуда дар соли 2021 </t>
  </si>
  <si>
    <t xml:space="preserve">Бақияи қарз дар назди БМТ ба ҳолати 01.01.2021 с. </t>
  </si>
  <si>
    <t>Бақияи уҳдадориҳо ба ҳолати 31 декабри соли 2020</t>
  </si>
  <si>
    <t xml:space="preserve">                                                                                                                                             
      Маълумот оид ба хизматрасонии қарзи дохилии Вазорати молия аз ҳисоби маблағҳои Буҷети давлатӣ</t>
  </si>
  <si>
    <t>Фоизҳои ҳисобшуда</t>
  </si>
  <si>
    <t xml:space="preserve">Фоизҳо </t>
  </si>
  <si>
    <t>Ҳамагӣ маблағи пардохтшуда</t>
  </si>
  <si>
    <t xml:space="preserve">аз руи Созишномаи иловагӣ аз 31 декабри соли 2020, 1/001/20 ба Шартномаи қарзӣ аз 2 майи 2019 сол, № 1/001/19  </t>
  </si>
  <si>
    <t>ҳамагӣ маблағи ҳисобшуда</t>
  </si>
  <si>
    <t>2022 сол (нақша)</t>
  </si>
  <si>
    <t xml:space="preserve">Маълумот оиди хизматрасонии иҷрошуда аз рӯи векселҳои давлатии Вазорати молия барои дастгирии соҳаи энергетика </t>
  </si>
  <si>
    <t>Бақияи уҳдадориҳои ВМҶТ (ќурби БМТ ба њолати 31.12.2020 сол)</t>
  </si>
  <si>
    <t xml:space="preserve">Ҳамагӣ бо сомонї ба њолати 31.12.2020 с. </t>
  </si>
  <si>
    <t>Ҳамагӣ қарздории қарзи асосӣ ва фоиз:</t>
  </si>
  <si>
    <t>шартномаи қарзӣ аз 2 майи 2019 сол, № 1/001/20</t>
  </si>
  <si>
    <t>то 2031</t>
  </si>
  <si>
    <t>Қарзи нав</t>
  </si>
  <si>
    <t xml:space="preserve">                                                                                                                                             
Маълумоти аниқшуда оид ба уҳдадориҳои Вазорати молия дар назди БМТ ба ҳолати 30 апрели соли 2021</t>
  </si>
  <si>
    <t>Давраи ҳисобкунӣ, (аз, то)</t>
  </si>
  <si>
    <t>Ҳамагӣ дар соли 2020:</t>
  </si>
  <si>
    <t>Ҳамагӣдар соли 2019:</t>
  </si>
  <si>
    <t>Ҳамагӣ дар соли 2021:</t>
  </si>
  <si>
    <t xml:space="preserve">Бақияи қарз дар назди БМТ ба ҳолати 20.05.2021 с. </t>
  </si>
  <si>
    <t xml:space="preserve">Вексели давлатӣ </t>
  </si>
  <si>
    <t>Нақша</t>
  </si>
  <si>
    <t>Фоизи пардохтшуда</t>
  </si>
  <si>
    <t>соли 2019</t>
  </si>
  <si>
    <t>соли 2020</t>
  </si>
  <si>
    <t>Сол (руз)</t>
  </si>
  <si>
    <t>ба ҳолати 01 июли соли 2021</t>
  </si>
  <si>
    <t>Ҳамагӣ дар соли 2012:</t>
  </si>
  <si>
    <t>Ҳамагӣ дар соли 2013:</t>
  </si>
  <si>
    <t>Ҳамагӣ дар соли 2014:</t>
  </si>
  <si>
    <t>Ҳамагӣ дар соли 2015:</t>
  </si>
  <si>
    <t>Ҳамагӣ дар соли 2016:</t>
  </si>
  <si>
    <t>Ҳамагӣ дар соли 2017:</t>
  </si>
  <si>
    <t>Ҳамагӣ дар соли 2018:</t>
  </si>
  <si>
    <t>Силсила ва рақами вексел</t>
  </si>
  <si>
    <t xml:space="preserve">Дар давраи аз  </t>
  </si>
  <si>
    <t xml:space="preserve">То мӯҳлати </t>
  </si>
  <si>
    <t>Маблағи қарзи асосӣ</t>
  </si>
  <si>
    <t xml:space="preserve">Меъёри фоизи солона  </t>
  </si>
  <si>
    <t>Рӯз</t>
  </si>
  <si>
    <t>Шумораи рӯз дар сол</t>
  </si>
  <si>
    <r>
      <t xml:space="preserve">                                                                                                                  </t>
    </r>
    <r>
      <rPr>
        <b/>
        <i/>
        <sz val="11"/>
        <color indexed="8"/>
        <rFont val="Times New Roman Tj"/>
        <family val="1"/>
        <charset val="204"/>
      </rPr>
      <t>№2017001</t>
    </r>
  </si>
  <si>
    <t>30,12,2017с фоиз пардохт шуд(№1397369)</t>
  </si>
  <si>
    <t xml:space="preserve">  №Р-Н(В-РҒН)2018002</t>
  </si>
  <si>
    <t>17,04,2018с фоиз пардохт шуд(№0338737)</t>
  </si>
  <si>
    <t>31,07,2018c фоиз пардохт шуд (№0833500)</t>
  </si>
  <si>
    <t>31,07,2018c фоиз пардохт шуд (№0833522)</t>
  </si>
  <si>
    <t>платежка</t>
  </si>
  <si>
    <t>31,10,2018с фоиз пардохт шуд(№1224647)</t>
  </si>
  <si>
    <t>Ҳамагӣ дар соли 2019:</t>
  </si>
  <si>
    <t xml:space="preserve">  №Р-Н(В-РҒН)2019003</t>
  </si>
  <si>
    <t>дар маҷмуъ</t>
  </si>
  <si>
    <t>Векселҳои пардохтшуда дар соли 2021</t>
  </si>
  <si>
    <t>Маълумот 
оид ба уҳдадориҳои Вазорати молия дар назди Бонки миллӣ дар соли 2021.</t>
  </si>
  <si>
    <t>Номгӯи векселҳо</t>
  </si>
  <si>
    <t>Маблағи ҷалбгардида аз БМТ (2001-2021)</t>
  </si>
  <si>
    <t>Муҳлат</t>
  </si>
  <si>
    <t>Бақияи уҳдадориҳо то 31.12.2021 сол</t>
  </si>
  <si>
    <t xml:space="preserve">Маблағҳои дар соли 2021 пешбинишуда  </t>
  </si>
  <si>
    <t xml:space="preserve">Тибқи талаботи шартномаҳои баимзорасида   </t>
  </si>
  <si>
    <t>Вексели давлатии Вазорати молия барои дастгирии соҳаи энергетика (аз ҳисоби буҷет)</t>
  </si>
  <si>
    <t>2017-2021</t>
  </si>
  <si>
    <t>- қарзи асосӣ</t>
  </si>
  <si>
    <t>- фоиз</t>
  </si>
  <si>
    <t xml:space="preserve"> Векселҳои давлатии Вазорати молия барои қарзи хоҷагиҳои пахтакор  (аз ҳисоби буҷет) дар соли 2021 дар нақша нест.</t>
  </si>
  <si>
    <t>2010-2018</t>
  </si>
  <si>
    <t xml:space="preserve">Қарзи ВМҶТ дар назди Бонки миллӣ  (1 165,0 млн. сомонӣ)                           </t>
  </si>
  <si>
    <t>- қарзи асосӣ                                                    (аз Фонди стабилизатсиони)</t>
  </si>
  <si>
    <t>- фоиз (аз буҷет)</t>
  </si>
  <si>
    <t>Вомбарги хазинадории Вазорати молия (оиди танзим намудани муносибатҳои молиявӣ байни ВМҶТ ва БМТ) (аз ҳисоби буҷет)</t>
  </si>
  <si>
    <t>2001-2021</t>
  </si>
  <si>
    <t>Меъёри таваррум +1%</t>
  </si>
  <si>
    <t>- фоиз (тағйирёбанда)</t>
  </si>
  <si>
    <t xml:space="preserve">Вексели давлатии ВМҶТ барои танзими 37 қарзҳои мушкилситони ҶСК "Агроинвестбонк" (аз ҳисоби фуруши молу мулки 37 қарзҳо) </t>
  </si>
  <si>
    <t>2021-2030</t>
  </si>
  <si>
    <t>Меъёри бозтамвил на зиёда аз 8%</t>
  </si>
  <si>
    <t xml:space="preserve">Векселҳои давлатии ВМҶТ барои сармоякунонии ҶСК "Тоҷиксодиротбонк"  (аз ҳисоби фуруши молу мулк) </t>
  </si>
  <si>
    <t>2016-2021</t>
  </si>
  <si>
    <t xml:space="preserve">Векселҳои давлатии ВМҶТ барои сармоякунонии ҶСК "Агроинвестбонк" (аз ҳисоби фуруши молу мулк) </t>
  </si>
  <si>
    <t>2012-2017</t>
  </si>
  <si>
    <t>Ҳамагӣ қарзи асосӣ</t>
  </si>
  <si>
    <t>Ҳамагӣ фоизҳо</t>
  </si>
  <si>
    <t>соли 2021</t>
  </si>
  <si>
    <t xml:space="preserve">тибқи Созишномаи иловагии № 1/001/20 аз 31 декабри соли 2020 ба Шартномаи №1/001/19 аз 2 майи соли 2019 </t>
  </si>
  <si>
    <t>соли 2022 нақша</t>
  </si>
  <si>
    <t>Бақияи уҳдадорӣ то 31.12.2021</t>
  </si>
  <si>
    <t>ба ҳолати 22 декабри соли 2021</t>
  </si>
  <si>
    <t>"= 830 474 404,33+200 000 000 = 1 030 474 404,33</t>
  </si>
  <si>
    <t xml:space="preserve">Векселҳои пардохтшуда аз соли 1993 то охири соли 2020 </t>
  </si>
  <si>
    <t xml:space="preserve">Ҳисоботи аниқшуда оиди феҳристи векселҳои оддии бе фоизи Вазорати молияи Ҷумҳурии Тоҷикистон барои зиёд намудани сармояи оинномавии ташкилотњои молиявии байналмилалӣ  ба ҳолати 31 декабри соли 2021.  
</t>
  </si>
  <si>
    <t>Бақияи уҳдадориҳои ВМҶТ (ќурби БМТ ба њолати 31.12.2021 с.)</t>
  </si>
  <si>
    <t>Фарқият (+/-) байни 31.12.2020 ва 31.12.2021 с.</t>
  </si>
  <si>
    <t xml:space="preserve">Бақияи қарзи дохила ба ҳолати 31.12.2021 с. </t>
  </si>
  <si>
    <t xml:space="preserve">Фарқияти нақша ва иҷроиш  </t>
  </si>
  <si>
    <t xml:space="preserve">Бақияи маблағи қарз, ки аз ҳисоби БД хизматрасонӣ мегардад. </t>
  </si>
  <si>
    <t>Уҳдадориҳои батаъхирафтода ба ҳолати 22.10.2021 сол</t>
  </si>
  <si>
    <t>Муҳлати пардохт</t>
  </si>
  <si>
    <t>охирон пардохт - 05.08.2021</t>
  </si>
  <si>
    <t>аз 15.01.2021 то 05.08.2021</t>
  </si>
  <si>
    <t>Бақияи қарзи дохила ба ҳолати 31.12.2021</t>
  </si>
  <si>
    <t xml:space="preserve"> Бақияи қарзи умумӣ ба ҳолати 31.12.2021 сол</t>
  </si>
  <si>
    <t>Иҷроиши уҳдадориҳо ба ҳолати 31.12.2021сол</t>
  </si>
  <si>
    <t>0</t>
  </si>
  <si>
    <t xml:space="preserve">Хизматрасонии иҷрошуда дар соли 2022 </t>
  </si>
  <si>
    <t xml:space="preserve">Маблағи қарз ба ҳолати 31.12.2021 с., ки аз ҳисоби БД бояд хизматрасонӣ гардад. </t>
  </si>
  <si>
    <t>тибқи нақша ба 01.01.2022 с.</t>
  </si>
  <si>
    <t>бо сомонӣ</t>
  </si>
  <si>
    <t>Тартиби пардохт дар соли 2022</t>
  </si>
  <si>
    <r>
      <rPr>
        <sz val="20"/>
        <color theme="1"/>
        <rFont val="Times New Roman Tj"/>
        <family val="1"/>
        <charset val="204"/>
      </rPr>
      <t>2. Хизматрасонии қарзи асосии векселҳои давлатии барои сармокунонии бонкҳои ҶСК "Агроинвестбонк" ва ҶСК "Тоҷиксодиротбонк" баровардашуда дар ҳаҷми</t>
    </r>
    <r>
      <rPr>
        <b/>
        <sz val="20"/>
        <color theme="1"/>
        <rFont val="Times New Roman Tj"/>
        <family val="1"/>
        <charset val="204"/>
      </rPr>
      <t xml:space="preserve"> 3 157 004 438</t>
    </r>
    <r>
      <rPr>
        <sz val="20"/>
        <color theme="1"/>
        <rFont val="Times New Roman Tj"/>
        <family val="1"/>
        <charset val="204"/>
      </rPr>
      <t xml:space="preserve"> сомонӣ аз ҳисоби фуруши амволҳои бонкҳо амалӣ карда мешавад.                </t>
    </r>
    <r>
      <rPr>
        <b/>
        <sz val="20"/>
        <color theme="1"/>
        <rFont val="Times New Roman Tj"/>
        <family val="1"/>
        <charset val="204"/>
      </rPr>
      <t xml:space="preserve">                                                                                                                                                                                                                       
           </t>
    </r>
  </si>
  <si>
    <r>
      <rPr>
        <b/>
        <sz val="18"/>
        <color theme="1"/>
        <rFont val="Times New Roman Tj"/>
        <family val="1"/>
        <charset val="204"/>
      </rPr>
      <t xml:space="preserve">Эъзоҳ: </t>
    </r>
    <r>
      <rPr>
        <sz val="18"/>
        <color theme="1"/>
        <rFont val="Times New Roman Tj"/>
        <family val="1"/>
        <charset val="204"/>
      </rPr>
      <t xml:space="preserve">
1. Хизматрасонии қарзи асосии Векселҳои давлати Вазорати молия барои соҳаи энергетика ба Бонки миллӣ дар ҳаҷми 106 000 ҳазор сомонӣ аз ҳисоби маблағҳое, ки барои хароҷотҳи ҶСК НБО "Роғун" пардохт карда мешавад.             </t>
    </r>
    <r>
      <rPr>
        <sz val="22"/>
        <color theme="1"/>
        <rFont val="Times New Roman Tj"/>
        <family val="1"/>
        <charset val="204"/>
      </rPr>
      <t xml:space="preserve">                                                                                                                                                                                                                                 </t>
    </r>
  </si>
  <si>
    <t xml:space="preserve">Бақияи қарз дар назди БМТ ба ҳолати 01.01.2022 с. </t>
  </si>
  <si>
    <t>Ҳамагӣдар солҳои 2017-2022 (кв1)</t>
  </si>
  <si>
    <t>Ҳамагӣ ба ҳолати 27.01.2022 сол</t>
  </si>
  <si>
    <t>Маблағи фоизи ба хисобгирифта-шуда</t>
  </si>
  <si>
    <t>Маблағи фоизи пардохт-шуда</t>
  </si>
  <si>
    <t>Маблағи фоизи пардохт-нашуда</t>
  </si>
  <si>
    <t>Маблағи қарзи асосии пардохт-шуда</t>
  </si>
  <si>
    <t>тағйирёбанда (0,99% - 2%)</t>
  </si>
  <si>
    <t xml:space="preserve">                                                                                                                                             
Маълумоти аниқшуда оид ба уҳдадориҳои Вазорати молия дар назди БМТ ба ҳолати 1 апрели соли 2022</t>
  </si>
  <si>
    <t xml:space="preserve">Бақияи қарз дар назди БМТ ба ҳолати 31.03.2022 с. </t>
  </si>
  <si>
    <t>Маълумот оид ба хизматрасонии қарзи Вазорати молия дар назди Бонки миллии Тоҷикистона аз руи Созишномаи иловагӣ аз 31 декабри соли 2020, 1/001/20 ба Шартномаи қарзӣ аз 2 майи 2019 сол, № 1/001/19 ба ҳолати 22 декабри соли 2021</t>
  </si>
  <si>
    <t>ба ҳолати 1 апрели соли 2022.</t>
  </si>
  <si>
    <t>Иҷроиш ба ҳолати 31.03.2022 с.</t>
  </si>
  <si>
    <t xml:space="preserve">Маълумот оиди ҳисоби уҳдадориҳо аз рӯи Вексели давлатӣ барои маблағгузории ҶСК "НБО Роғун" ба ҳолати 1 апрели 2022 сол                                                   </t>
  </si>
  <si>
    <t xml:space="preserve"> Маълумоти аниқшуда оид ба бақияи қарзи дохилии давлатии Ҷумҳурии Тоҷикистон ба ҳолати 01.04.2022 сол                                                           </t>
  </si>
  <si>
    <t>Маблағҳои ҳисобшуда тибқи нақша дар соли 2022</t>
  </si>
  <si>
    <t xml:space="preserve">Бақияи уҳдадориҳо ба ҳолати 31 декабри соли 2021 </t>
  </si>
  <si>
    <t>X</t>
  </si>
  <si>
    <t>Ҳамагӣ иҷроиш</t>
  </si>
  <si>
    <t>Бақияи қарзи дохила ба ҳолати 31.03.2022</t>
  </si>
  <si>
    <t>Фарқият байни 31.12.2021 ва 31.03.2022</t>
  </si>
  <si>
    <t>* Эзоҳ: Аз нақшаи дар соли 2022 пешбинишуда ба ҳолати 1 апрели соли 2022  қарзи асосӣ қисман ба маблағи 35,0 млн сомонӣ пардохт шудааст.</t>
  </si>
  <si>
    <t>2018 сол</t>
  </si>
  <si>
    <t>Қарзи асосии пардохтшуда дар соли 2022</t>
  </si>
  <si>
    <t>Фоизҳои пардохтшуда дар соли 2022</t>
  </si>
  <si>
    <t xml:space="preserve">Бақияи қарзи дохила ба ҳолати 31.03.2022 с. </t>
  </si>
  <si>
    <t>Замимаи 2</t>
  </si>
  <si>
    <t xml:space="preserve">Маълумот оид ба хизматрасонии қарзи дохилӣ ба ҳолати 1 апрели соли 2022 бо назардошти векселҳои хазинадорӣ ва бонкҳои муфлисгардида     </t>
  </si>
  <si>
    <r>
      <t>(бо ҳазор сомонӣ) </t>
    </r>
    <r>
      <rPr>
        <i/>
        <sz val="14"/>
        <color rgb="FF000000"/>
        <rFont val="Times New Roman Tj"/>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</si>
</sst>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_-;\-* #,##0.00\ _₽_-;_-* &quot;-&quot;??\ _₽_-;_-@_-"/>
    <numFmt numFmtId="164" formatCode="_-* #,##0.00_р_._-;\-* #,##0.00_р_._-;_-* &quot;-&quot;??_р_._-;_-@_-"/>
    <numFmt numFmtId="165" formatCode="_-* #,##0\ _₽_-;\-* #,##0\ _₽_-;_-* &quot;-&quot;??\ _₽_-;_-@_-"/>
    <numFmt numFmtId="166" formatCode="_-* #,##0.0\ _₽_-;\-* #,##0.0\ _₽_-;_-* &quot;-&quot;??\ _₽_-;_-@_-"/>
    <numFmt numFmtId="167" formatCode="_-* #,##0_р_._-;\-* #,##0_р_._-;_-* &quot;-&quot;??_р_._-;_-@_-"/>
    <numFmt numFmtId="168" formatCode="#,##0_ ;\-#,##0\ "/>
    <numFmt numFmtId="169" formatCode="_-* #,##0.0_р_._-;\-* #,##0.0_р_._-;_-* &quot;-&quot;??_р_._-;_-@_-"/>
    <numFmt numFmtId="170" formatCode="0.0000"/>
    <numFmt numFmtId="171" formatCode="_-* #,##0.0000_р_._-;\-* #,##0.0000_р_._-;_-* &quot;-&quot;??_р_._-;_-@_-"/>
    <numFmt numFmtId="172" formatCode="_-* #,##0.0000\ _₽_-;\-* #,##0.0000\ _₽_-;_-* &quot;-&quot;??\ _₽_-;_-@_-"/>
    <numFmt numFmtId="173" formatCode="#,##0_р_."/>
    <numFmt numFmtId="174" formatCode="dd/mm/yy;@"/>
    <numFmt numFmtId="175" formatCode="#,##0.00_р_."/>
    <numFmt numFmtId="176" formatCode="#,##0.00_ ;\-#,##0.00\ "/>
    <numFmt numFmtId="177" formatCode="_-* #,##0.0000\ _₽_-;\-* #,##0.0000\ _₽_-;_-* &quot;-&quot;????\ _₽_-;_-@_-"/>
    <numFmt numFmtId="178" formatCode="#,##0.000"/>
    <numFmt numFmtId="179" formatCode="0.0"/>
    <numFmt numFmtId="180" formatCode="0.0%"/>
  </numFmts>
  <fonts count="88" x14ac:knownFonts="1">
    <font>
      <sz val="11"/>
      <color theme="1"/>
      <name val="Calibri"/>
      <family val="2"/>
      <charset val="204"/>
      <scheme val="minor"/>
    </font>
    <font>
      <sz val="11"/>
      <color theme="1"/>
      <name val="Calibri"/>
      <family val="2"/>
      <charset val="204"/>
      <scheme val="minor"/>
    </font>
    <font>
      <sz val="12"/>
      <color theme="1"/>
      <name val="Times New Roman Tj"/>
      <family val="1"/>
      <charset val="204"/>
    </font>
    <font>
      <sz val="12"/>
      <color rgb="FF000000"/>
      <name val="Times New Roman Tj"/>
      <family val="1"/>
      <charset val="204"/>
    </font>
    <font>
      <b/>
      <i/>
      <sz val="12"/>
      <color theme="1"/>
      <name val="Times New Roman Tj"/>
      <family val="1"/>
      <charset val="204"/>
    </font>
    <font>
      <b/>
      <sz val="22"/>
      <color rgb="FF000000"/>
      <name val="Times New Roman Tj"/>
      <family val="1"/>
      <charset val="204"/>
    </font>
    <font>
      <b/>
      <sz val="12"/>
      <color rgb="FF000000"/>
      <name val="Times New Roman Tj"/>
      <family val="1"/>
      <charset val="204"/>
    </font>
    <font>
      <b/>
      <i/>
      <sz val="12"/>
      <color rgb="FF000000"/>
      <name val="Times New Roman Tj"/>
      <family val="1"/>
      <charset val="204"/>
    </font>
    <font>
      <sz val="11"/>
      <color theme="1"/>
      <name val="Times New Roman Tj"/>
      <family val="1"/>
      <charset val="204"/>
    </font>
    <font>
      <b/>
      <sz val="14"/>
      <color theme="1"/>
      <name val="Times New Roman Tj"/>
      <family val="1"/>
      <charset val="204"/>
    </font>
    <font>
      <b/>
      <sz val="14"/>
      <color theme="1"/>
      <name val="Times New Roman"/>
      <family val="1"/>
      <charset val="204"/>
    </font>
    <font>
      <b/>
      <i/>
      <sz val="16"/>
      <color theme="1"/>
      <name val="Times New Roman Tj"/>
      <family val="1"/>
      <charset val="204"/>
    </font>
    <font>
      <i/>
      <sz val="11"/>
      <color theme="1"/>
      <name val="Times New Roman Tj"/>
      <family val="1"/>
      <charset val="204"/>
    </font>
    <font>
      <sz val="14"/>
      <color theme="1"/>
      <name val="Times New Roman Tj"/>
      <family val="1"/>
      <charset val="204"/>
    </font>
    <font>
      <sz val="10"/>
      <color indexed="8"/>
      <name val="Arial Cyr"/>
      <family val="2"/>
      <charset val="204"/>
    </font>
    <font>
      <sz val="10"/>
      <name val="Arial Cyr"/>
      <charset val="204"/>
    </font>
    <font>
      <sz val="10"/>
      <name val="Times New Roman"/>
      <family val="1"/>
      <charset val="204"/>
    </font>
    <font>
      <b/>
      <sz val="14"/>
      <color theme="1"/>
      <name val="Cambria"/>
      <family val="1"/>
      <charset val="204"/>
      <scheme val="major"/>
    </font>
    <font>
      <b/>
      <i/>
      <sz val="22"/>
      <color theme="1"/>
      <name val="Times New Roman Tj"/>
      <family val="1"/>
      <charset val="204"/>
    </font>
    <font>
      <sz val="18"/>
      <color theme="1"/>
      <name val="Times New Roman Tj"/>
      <family val="1"/>
      <charset val="204"/>
    </font>
    <font>
      <b/>
      <i/>
      <sz val="18"/>
      <color theme="1"/>
      <name val="Times New Roman Tj"/>
      <family val="1"/>
      <charset val="204"/>
    </font>
    <font>
      <b/>
      <sz val="18"/>
      <color theme="1"/>
      <name val="Times New Roman Tj"/>
      <family val="1"/>
      <charset val="204"/>
    </font>
    <font>
      <i/>
      <sz val="18"/>
      <color theme="1"/>
      <name val="Times New Roman Tj"/>
      <family val="1"/>
      <charset val="204"/>
    </font>
    <font>
      <b/>
      <sz val="22"/>
      <color theme="1"/>
      <name val="Times New Roman Tj"/>
      <family val="1"/>
      <charset val="204"/>
    </font>
    <font>
      <sz val="11"/>
      <color theme="1"/>
      <name val="Calibri"/>
      <family val="2"/>
      <scheme val="minor"/>
    </font>
    <font>
      <b/>
      <sz val="16"/>
      <color theme="1"/>
      <name val="Times New Roman Tj"/>
      <family val="1"/>
      <charset val="204"/>
    </font>
    <font>
      <b/>
      <i/>
      <sz val="14"/>
      <color theme="1"/>
      <name val="Times New Roman Tj"/>
      <family val="1"/>
      <charset val="204"/>
    </font>
    <font>
      <b/>
      <i/>
      <sz val="14"/>
      <color rgb="FFFF0000"/>
      <name val="Times New Roman Tj"/>
      <family val="1"/>
      <charset val="204"/>
    </font>
    <font>
      <sz val="16"/>
      <color theme="1"/>
      <name val="Times New Roman Tj"/>
      <family val="1"/>
      <charset val="204"/>
    </font>
    <font>
      <i/>
      <sz val="12"/>
      <color theme="1"/>
      <name val="Times New Roman Tj"/>
      <family val="1"/>
      <charset val="204"/>
    </font>
    <font>
      <i/>
      <sz val="14"/>
      <color theme="1"/>
      <name val="Times New Roman Tj"/>
      <family val="1"/>
      <charset val="204"/>
    </font>
    <font>
      <i/>
      <sz val="14"/>
      <color rgb="FFFF0000"/>
      <name val="Times New Roman Tj"/>
      <family val="1"/>
      <charset val="204"/>
    </font>
    <font>
      <b/>
      <sz val="14"/>
      <color rgb="FFFF0000"/>
      <name val="Times New Roman Tj"/>
      <family val="1"/>
      <charset val="204"/>
    </font>
    <font>
      <b/>
      <sz val="12"/>
      <color theme="1"/>
      <name val="Times New Roman Tj"/>
      <family val="1"/>
      <charset val="204"/>
    </font>
    <font>
      <sz val="14"/>
      <color rgb="FF000000"/>
      <name val="Times New Roman Tj"/>
      <family val="1"/>
      <charset val="204"/>
    </font>
    <font>
      <b/>
      <sz val="14"/>
      <color rgb="FF000000"/>
      <name val="Times New Roman Tj"/>
      <family val="1"/>
      <charset val="204"/>
    </font>
    <font>
      <sz val="14"/>
      <color theme="1"/>
      <name val="Calibri"/>
      <family val="2"/>
      <charset val="204"/>
      <scheme val="minor"/>
    </font>
    <font>
      <i/>
      <sz val="14"/>
      <color theme="1"/>
      <name val="Calibri"/>
      <family val="2"/>
      <charset val="204"/>
      <scheme val="minor"/>
    </font>
    <font>
      <b/>
      <sz val="18"/>
      <color rgb="FF000000"/>
      <name val="Times New Roman Tj"/>
      <family val="1"/>
      <charset val="204"/>
    </font>
    <font>
      <b/>
      <i/>
      <sz val="18"/>
      <color rgb="FF000000"/>
      <name val="Times New Roman Tj"/>
      <family val="1"/>
      <charset val="204"/>
    </font>
    <font>
      <i/>
      <sz val="16"/>
      <color theme="1"/>
      <name val="Times New Roman Tj"/>
      <family val="1"/>
      <charset val="204"/>
    </font>
    <font>
      <b/>
      <sz val="18"/>
      <name val="Palatino Linotype"/>
      <family val="1"/>
      <charset val="204"/>
    </font>
    <font>
      <sz val="14"/>
      <name val="Palatino Linotype"/>
      <family val="1"/>
      <charset val="204"/>
    </font>
    <font>
      <sz val="14"/>
      <color theme="1"/>
      <name val="Palatino Linotype"/>
      <family val="1"/>
      <charset val="204"/>
    </font>
    <font>
      <b/>
      <sz val="14"/>
      <name val="Palatino Linotype"/>
      <family val="1"/>
      <charset val="204"/>
    </font>
    <font>
      <b/>
      <i/>
      <sz val="14"/>
      <name val="Palatino Linotype"/>
      <family val="1"/>
      <charset val="204"/>
    </font>
    <font>
      <i/>
      <sz val="14"/>
      <name val="Palatino Linotype"/>
      <family val="1"/>
      <charset val="204"/>
    </font>
    <font>
      <i/>
      <sz val="14"/>
      <color theme="1"/>
      <name val="Palatino Linotype"/>
      <family val="1"/>
      <charset val="204"/>
    </font>
    <font>
      <b/>
      <sz val="16"/>
      <color theme="1"/>
      <name val="Palatino Linotype"/>
      <family val="1"/>
      <charset val="204"/>
    </font>
    <font>
      <sz val="16"/>
      <color theme="1"/>
      <name val="Palatino Linotype"/>
      <family val="1"/>
      <charset val="204"/>
    </font>
    <font>
      <b/>
      <sz val="14"/>
      <color theme="1"/>
      <name val="Palatino Linotype"/>
      <family val="1"/>
      <charset val="204"/>
    </font>
    <font>
      <b/>
      <i/>
      <sz val="11"/>
      <color theme="1"/>
      <name val="Times New Roman Tj"/>
      <family val="1"/>
      <charset val="204"/>
    </font>
    <font>
      <b/>
      <i/>
      <sz val="12"/>
      <color rgb="FFFF0000"/>
      <name val="Times New Roman Tj"/>
      <family val="1"/>
      <charset val="204"/>
    </font>
    <font>
      <b/>
      <sz val="12"/>
      <color rgb="FFC00000"/>
      <name val="Times New Roman Tj"/>
      <family val="1"/>
      <charset val="204"/>
    </font>
    <font>
      <b/>
      <i/>
      <sz val="20"/>
      <name val="Palatino Linotype"/>
      <family val="1"/>
      <charset val="204"/>
    </font>
    <font>
      <b/>
      <sz val="20"/>
      <name val="Palatino Linotype"/>
      <family val="1"/>
      <charset val="204"/>
    </font>
    <font>
      <sz val="14"/>
      <color rgb="FFFF0000"/>
      <name val="Times New Roman Tj"/>
      <family val="1"/>
      <charset val="204"/>
    </font>
    <font>
      <sz val="10"/>
      <name val="Palatino Linotype"/>
      <family val="1"/>
      <charset val="204"/>
    </font>
    <font>
      <b/>
      <sz val="10"/>
      <name val="Times New Roman Tj"/>
      <family val="1"/>
      <charset val="204"/>
    </font>
    <font>
      <b/>
      <sz val="11"/>
      <color theme="1"/>
      <name val="Times New Roman Tj"/>
      <family val="1"/>
      <charset val="204"/>
    </font>
    <font>
      <b/>
      <sz val="11"/>
      <color theme="1" tint="0.14999847407452621"/>
      <name val="Times New Roman Tj"/>
      <family val="1"/>
      <charset val="204"/>
    </font>
    <font>
      <sz val="10"/>
      <name val="Times New Roman Tj"/>
      <family val="1"/>
      <charset val="204"/>
    </font>
    <font>
      <b/>
      <i/>
      <sz val="11"/>
      <color indexed="8"/>
      <name val="Times New Roman Tj"/>
      <family val="1"/>
      <charset val="204"/>
    </font>
    <font>
      <b/>
      <sz val="11"/>
      <name val="Palatino Linotype"/>
      <family val="1"/>
      <charset val="204"/>
    </font>
    <font>
      <b/>
      <sz val="10"/>
      <name val="Palatino Linotype"/>
      <family val="1"/>
      <charset val="204"/>
    </font>
    <font>
      <b/>
      <sz val="12"/>
      <color theme="8" tint="-0.249977111117893"/>
      <name val="Times New Roman Tj"/>
      <family val="1"/>
      <charset val="204"/>
    </font>
    <font>
      <sz val="22"/>
      <name val="Palatino Linotype"/>
      <family val="1"/>
      <charset val="204"/>
    </font>
    <font>
      <sz val="18"/>
      <name val="Palatino Linotype"/>
      <family val="1"/>
      <charset val="204"/>
    </font>
    <font>
      <sz val="16"/>
      <name val="Palatino Linotype"/>
      <family val="1"/>
      <charset val="204"/>
    </font>
    <font>
      <sz val="14"/>
      <name val="Times New Roman Tj"/>
      <family val="1"/>
      <charset val="204"/>
    </font>
    <font>
      <sz val="15"/>
      <color theme="1"/>
      <name val="Times New Roman Tj"/>
      <family val="1"/>
      <charset val="204"/>
    </font>
    <font>
      <b/>
      <sz val="12"/>
      <color rgb="FFFF0000"/>
      <name val="Times New Roman Tj"/>
      <family val="1"/>
      <charset val="204"/>
    </font>
    <font>
      <b/>
      <sz val="14"/>
      <color rgb="FFFF0000"/>
      <name val="Times New Roman"/>
      <family val="1"/>
      <charset val="204"/>
    </font>
    <font>
      <sz val="18"/>
      <color rgb="FFFF0000"/>
      <name val="Times New Roman Tj"/>
      <family val="1"/>
      <charset val="204"/>
    </font>
    <font>
      <sz val="16"/>
      <color theme="1"/>
      <name val="Calibri"/>
      <family val="2"/>
      <charset val="204"/>
      <scheme val="minor"/>
    </font>
    <font>
      <sz val="18"/>
      <color theme="1"/>
      <name val="Calibri"/>
      <family val="2"/>
      <charset val="204"/>
      <scheme val="minor"/>
    </font>
    <font>
      <b/>
      <sz val="16"/>
      <color rgb="FFFF0000"/>
      <name val="Times New Roman Tj"/>
      <family val="1"/>
      <charset val="204"/>
    </font>
    <font>
      <b/>
      <sz val="20"/>
      <color theme="1"/>
      <name val="Times New Roman Tj"/>
      <family val="1"/>
      <charset val="204"/>
    </font>
    <font>
      <sz val="20"/>
      <color theme="1"/>
      <name val="Times New Roman Tj"/>
      <family val="1"/>
      <charset val="204"/>
    </font>
    <font>
      <sz val="22"/>
      <color theme="1"/>
      <name val="Times New Roman Tj"/>
      <family val="1"/>
      <charset val="204"/>
    </font>
    <font>
      <b/>
      <i/>
      <sz val="18"/>
      <color rgb="FFFF0000"/>
      <name val="Times New Roman Tj"/>
      <family val="1"/>
      <charset val="204"/>
    </font>
    <font>
      <sz val="12"/>
      <name val="Palatino Linotype"/>
      <family val="1"/>
      <charset val="204"/>
    </font>
    <font>
      <sz val="14"/>
      <color rgb="FFFF0000"/>
      <name val="Palatino Linotype"/>
      <family val="1"/>
      <charset val="204"/>
    </font>
    <font>
      <sz val="24"/>
      <color theme="1"/>
      <name val="Times New Roman Tj"/>
      <family val="1"/>
      <charset val="204"/>
    </font>
    <font>
      <sz val="24"/>
      <color theme="1"/>
      <name val="Calibri"/>
      <family val="2"/>
      <charset val="204"/>
      <scheme val="minor"/>
    </font>
    <font>
      <sz val="24"/>
      <color rgb="FF000000"/>
      <name val="Times New Roman Tj"/>
      <family val="1"/>
      <charset val="204"/>
    </font>
    <font>
      <i/>
      <sz val="14"/>
      <name val="Times New Roman Tj"/>
      <family val="1"/>
      <charset val="204"/>
    </font>
    <font>
      <i/>
      <sz val="14"/>
      <color rgb="FF000000"/>
      <name val="Times New Roman Tj"/>
      <family val="1"/>
      <charset val="204"/>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bgColor indexed="64"/>
      </patternFill>
    </fill>
  </fills>
  <borders count="8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5" fillId="0" borderId="0"/>
    <xf numFmtId="9" fontId="16" fillId="0" borderId="0" applyFont="0" applyFill="0" applyBorder="0" applyAlignment="0" applyProtection="0"/>
    <xf numFmtId="164" fontId="1" fillId="0" borderId="0" applyFont="0" applyFill="0" applyBorder="0" applyAlignment="0" applyProtection="0"/>
    <xf numFmtId="0" fontId="24" fillId="0" borderId="0"/>
    <xf numFmtId="164" fontId="24"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15" fillId="0" borderId="0" applyFont="0" applyFill="0" applyBorder="0" applyAlignment="0" applyProtection="0"/>
  </cellStyleXfs>
  <cellXfs count="1409">
    <xf numFmtId="0" fontId="0" fillId="0" borderId="0" xfId="0"/>
    <xf numFmtId="0" fontId="0" fillId="0" borderId="0" xfId="0" applyFont="1" applyAlignment="1"/>
    <xf numFmtId="0" fontId="0" fillId="0" borderId="0" xfId="0" applyFont="1" applyAlignment="1">
      <alignment horizontal="left" readingOrder="1"/>
    </xf>
    <xf numFmtId="0" fontId="3" fillId="2" borderId="4" xfId="0" applyFont="1" applyFill="1" applyBorder="1" applyAlignment="1">
      <alignment horizontal="center" vertical="center" wrapText="1" readingOrder="1"/>
    </xf>
    <xf numFmtId="10" fontId="4" fillId="0" borderId="0" xfId="2" applyNumberFormat="1" applyFont="1" applyAlignment="1"/>
    <xf numFmtId="0" fontId="6" fillId="2" borderId="1" xfId="0" applyFont="1" applyFill="1" applyBorder="1" applyAlignment="1">
      <alignment horizontal="center" vertical="center" wrapText="1" readingOrder="1"/>
    </xf>
    <xf numFmtId="0" fontId="8" fillId="0" borderId="0" xfId="0" applyFont="1" applyAlignment="1"/>
    <xf numFmtId="0" fontId="8" fillId="0" borderId="0" xfId="0" applyFont="1" applyAlignment="1">
      <alignment horizontal="left" readingOrder="1"/>
    </xf>
    <xf numFmtId="0" fontId="4" fillId="0" borderId="0" xfId="0" applyFont="1" applyAlignment="1">
      <alignment horizontal="right"/>
    </xf>
    <xf numFmtId="0" fontId="4" fillId="0" borderId="0" xfId="0" applyFont="1" applyAlignment="1"/>
    <xf numFmtId="165" fontId="9" fillId="0" borderId="0" xfId="0" applyNumberFormat="1" applyFont="1" applyAlignment="1">
      <alignment horizontal="center" vertical="center"/>
    </xf>
    <xf numFmtId="2" fontId="8" fillId="0" borderId="0" xfId="0" applyNumberFormat="1" applyFont="1" applyAlignment="1"/>
    <xf numFmtId="164" fontId="8" fillId="0" borderId="0" xfId="0" applyNumberFormat="1" applyFont="1" applyAlignment="1"/>
    <xf numFmtId="10" fontId="0" fillId="0" borderId="0" xfId="0" applyNumberFormat="1" applyFont="1" applyAlignment="1"/>
    <xf numFmtId="164" fontId="0" fillId="0" borderId="0" xfId="0" applyNumberFormat="1" applyFont="1" applyAlignment="1"/>
    <xf numFmtId="43" fontId="4" fillId="0" borderId="0" xfId="1" applyFont="1" applyAlignment="1"/>
    <xf numFmtId="165" fontId="10" fillId="0" borderId="2" xfId="1" applyNumberFormat="1" applyFont="1" applyBorder="1" applyAlignment="1">
      <alignment vertical="center" readingOrder="1"/>
    </xf>
    <xf numFmtId="165" fontId="10" fillId="0" borderId="13" xfId="1" applyNumberFormat="1" applyFont="1" applyBorder="1" applyAlignment="1">
      <alignment vertical="center" readingOrder="1"/>
    </xf>
    <xf numFmtId="0" fontId="2" fillId="2" borderId="2" xfId="0" applyFont="1" applyFill="1" applyBorder="1" applyAlignment="1">
      <alignment horizontal="center" vertical="center"/>
    </xf>
    <xf numFmtId="9" fontId="2" fillId="0" borderId="9" xfId="2" applyFont="1" applyBorder="1" applyAlignment="1">
      <alignment horizontal="center" vertical="center" wrapText="1"/>
    </xf>
    <xf numFmtId="0" fontId="2" fillId="2" borderId="13" xfId="1" applyNumberFormat="1" applyFont="1" applyFill="1" applyBorder="1" applyAlignment="1">
      <alignment horizontal="center" vertical="center"/>
    </xf>
    <xf numFmtId="0" fontId="2"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43" fontId="11" fillId="0" borderId="0" xfId="1" applyNumberFormat="1" applyFont="1" applyBorder="1" applyAlignment="1">
      <alignment vertical="center" readingOrder="1"/>
    </xf>
    <xf numFmtId="2" fontId="12" fillId="0" borderId="0" xfId="0" applyNumberFormat="1" applyFont="1" applyAlignment="1"/>
    <xf numFmtId="165" fontId="13" fillId="0" borderId="0" xfId="0" applyNumberFormat="1" applyFont="1" applyAlignment="1"/>
    <xf numFmtId="43" fontId="4" fillId="0" borderId="0" xfId="1" applyNumberFormat="1" applyFont="1" applyAlignment="1">
      <alignment horizontal="left"/>
    </xf>
    <xf numFmtId="10" fontId="11" fillId="0" borderId="0" xfId="2" applyNumberFormat="1" applyFont="1" applyBorder="1" applyAlignment="1">
      <alignment vertical="center" readingOrder="1"/>
    </xf>
    <xf numFmtId="165" fontId="10" fillId="0" borderId="19" xfId="1" applyNumberFormat="1" applyFont="1" applyBorder="1" applyAlignment="1">
      <alignment vertical="center" readingOrder="1"/>
    </xf>
    <xf numFmtId="165" fontId="10" fillId="0" borderId="24" xfId="0" applyNumberFormat="1" applyFont="1" applyBorder="1" applyAlignment="1">
      <alignment vertical="center" readingOrder="1"/>
    </xf>
    <xf numFmtId="0" fontId="17" fillId="0" borderId="0" xfId="0" applyFont="1" applyAlignment="1"/>
    <xf numFmtId="0" fontId="19" fillId="0" borderId="0" xfId="0" applyFont="1"/>
    <xf numFmtId="0" fontId="20" fillId="0" borderId="0" xfId="0" applyFont="1"/>
    <xf numFmtId="0" fontId="20" fillId="0" borderId="0" xfId="0" applyFont="1" applyAlignment="1">
      <alignment horizontal="right"/>
    </xf>
    <xf numFmtId="0" fontId="21" fillId="0" borderId="27" xfId="0" applyFont="1" applyBorder="1" applyAlignment="1">
      <alignment horizontal="center" vertical="center"/>
    </xf>
    <xf numFmtId="0" fontId="21" fillId="0" borderId="20" xfId="0" applyFont="1" applyBorder="1" applyAlignment="1">
      <alignment horizontal="center" vertical="center"/>
    </xf>
    <xf numFmtId="0" fontId="0" fillId="0" borderId="0" xfId="0" applyBorder="1"/>
    <xf numFmtId="167" fontId="20" fillId="2" borderId="13" xfId="6" applyNumberFormat="1" applyFont="1" applyFill="1" applyBorder="1" applyAlignment="1">
      <alignment vertical="center"/>
    </xf>
    <xf numFmtId="9" fontId="20" fillId="2" borderId="6" xfId="6" applyNumberFormat="1" applyFont="1" applyFill="1" applyBorder="1" applyAlignment="1">
      <alignment horizontal="center" vertical="center"/>
    </xf>
    <xf numFmtId="9" fontId="20" fillId="2" borderId="14" xfId="6" applyNumberFormat="1" applyFont="1" applyFill="1" applyBorder="1" applyAlignment="1">
      <alignment horizontal="center" vertical="center"/>
    </xf>
    <xf numFmtId="9" fontId="20" fillId="2" borderId="1" xfId="6" applyNumberFormat="1" applyFont="1" applyFill="1" applyBorder="1" applyAlignment="1">
      <alignment horizontal="center" vertical="center"/>
    </xf>
    <xf numFmtId="167" fontId="20" fillId="3" borderId="20" xfId="6" applyNumberFormat="1" applyFont="1" applyFill="1" applyBorder="1" applyAlignment="1">
      <alignment horizontal="center" vertical="center"/>
    </xf>
    <xf numFmtId="167" fontId="20" fillId="3" borderId="21" xfId="6" applyNumberFormat="1" applyFont="1" applyFill="1" applyBorder="1" applyAlignment="1">
      <alignment horizontal="center" vertical="center"/>
    </xf>
    <xf numFmtId="0" fontId="20" fillId="0" borderId="18" xfId="0" applyFont="1" applyBorder="1" applyAlignment="1">
      <alignment horizontal="center" vertical="center" wrapText="1"/>
    </xf>
    <xf numFmtId="167" fontId="20" fillId="2" borderId="1" xfId="6" applyNumberFormat="1" applyFont="1" applyFill="1" applyBorder="1" applyAlignment="1">
      <alignment horizontal="center" vertical="center"/>
    </xf>
    <xf numFmtId="167" fontId="20" fillId="2" borderId="18" xfId="6" applyNumberFormat="1" applyFont="1" applyFill="1" applyBorder="1" applyAlignment="1">
      <alignment horizontal="center" vertical="center"/>
    </xf>
    <xf numFmtId="167" fontId="20" fillId="2" borderId="19" xfId="6" applyNumberFormat="1" applyFont="1" applyFill="1" applyBorder="1" applyAlignment="1">
      <alignment horizontal="center" vertical="center"/>
    </xf>
    <xf numFmtId="167" fontId="20" fillId="0" borderId="24" xfId="6" applyNumberFormat="1" applyFont="1" applyBorder="1" applyAlignment="1">
      <alignment horizontal="center" vertical="center"/>
    </xf>
    <xf numFmtId="167" fontId="20" fillId="3" borderId="22" xfId="0" applyNumberFormat="1" applyFont="1" applyFill="1" applyBorder="1" applyAlignment="1">
      <alignment vertical="center"/>
    </xf>
    <xf numFmtId="167" fontId="20" fillId="3" borderId="2" xfId="0" applyNumberFormat="1" applyFont="1" applyFill="1" applyBorder="1" applyAlignment="1">
      <alignment vertical="center"/>
    </xf>
    <xf numFmtId="167" fontId="20" fillId="3" borderId="1" xfId="0" applyNumberFormat="1" applyFont="1" applyFill="1" applyBorder="1" applyAlignment="1">
      <alignment vertical="center"/>
    </xf>
    <xf numFmtId="167" fontId="20" fillId="3" borderId="13" xfId="0" applyNumberFormat="1" applyFont="1" applyFill="1" applyBorder="1" applyAlignment="1">
      <alignment vertical="center"/>
    </xf>
    <xf numFmtId="167" fontId="20" fillId="3" borderId="24" xfId="0" applyNumberFormat="1" applyFont="1" applyFill="1" applyBorder="1" applyAlignment="1">
      <alignment vertical="center"/>
    </xf>
    <xf numFmtId="167" fontId="19" fillId="0" borderId="0" xfId="0" applyNumberFormat="1" applyFont="1"/>
    <xf numFmtId="0" fontId="20" fillId="0" borderId="0" xfId="0" applyFont="1" applyAlignment="1">
      <alignment horizontal="center" vertical="center"/>
    </xf>
    <xf numFmtId="167" fontId="20" fillId="3" borderId="33" xfId="0" applyNumberFormat="1" applyFont="1" applyFill="1" applyBorder="1" applyAlignment="1">
      <alignment vertical="center"/>
    </xf>
    <xf numFmtId="167" fontId="0" fillId="0" borderId="0" xfId="0" applyNumberFormat="1"/>
    <xf numFmtId="0" fontId="22" fillId="0" borderId="0" xfId="0" applyFont="1"/>
    <xf numFmtId="43" fontId="0" fillId="0" borderId="0" xfId="0" applyNumberFormat="1"/>
    <xf numFmtId="0" fontId="8" fillId="0" borderId="0" xfId="0" applyFont="1"/>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37" xfId="0" applyFont="1" applyBorder="1" applyAlignment="1">
      <alignment horizontal="center" vertical="center"/>
    </xf>
    <xf numFmtId="0" fontId="13" fillId="0" borderId="39" xfId="0" applyFont="1" applyBorder="1" applyAlignment="1">
      <alignment horizontal="left" vertical="center" wrapText="1"/>
    </xf>
    <xf numFmtId="168" fontId="13" fillId="0" borderId="35" xfId="6" applyNumberFormat="1" applyFont="1" applyBorder="1" applyAlignment="1">
      <alignment horizontal="center" vertical="center"/>
    </xf>
    <xf numFmtId="164" fontId="13" fillId="0" borderId="37" xfId="6" applyNumberFormat="1" applyFont="1" applyBorder="1" applyAlignment="1">
      <alignment horizontal="right" vertical="center"/>
    </xf>
    <xf numFmtId="164" fontId="13" fillId="0" borderId="15" xfId="6" applyFont="1" applyBorder="1" applyAlignment="1">
      <alignment horizontal="right" vertical="center"/>
    </xf>
    <xf numFmtId="0" fontId="13" fillId="0" borderId="7" xfId="0" applyFont="1" applyBorder="1" applyAlignment="1">
      <alignment horizontal="center" vertical="center"/>
    </xf>
    <xf numFmtId="0" fontId="13" fillId="0" borderId="11" xfId="0" applyFont="1" applyBorder="1" applyAlignment="1">
      <alignment horizontal="left" vertical="center" wrapText="1"/>
    </xf>
    <xf numFmtId="168" fontId="13" fillId="0" borderId="4" xfId="6" applyNumberFormat="1" applyFont="1" applyBorder="1" applyAlignment="1">
      <alignment horizontal="center" vertical="center"/>
    </xf>
    <xf numFmtId="164" fontId="13" fillId="0" borderId="7" xfId="6" applyNumberFormat="1" applyFont="1" applyBorder="1" applyAlignment="1">
      <alignment horizontal="center" vertical="center"/>
    </xf>
    <xf numFmtId="164" fontId="13" fillId="0" borderId="15" xfId="6" applyFont="1" applyFill="1" applyBorder="1" applyAlignment="1">
      <alignment horizontal="center" vertical="center"/>
    </xf>
    <xf numFmtId="164" fontId="13" fillId="0" borderId="7" xfId="6" applyNumberFormat="1" applyFont="1" applyFill="1" applyBorder="1" applyAlignment="1">
      <alignment horizontal="right" vertical="center"/>
    </xf>
    <xf numFmtId="0" fontId="13" fillId="6" borderId="7" xfId="0" applyFont="1" applyFill="1" applyBorder="1" applyAlignment="1">
      <alignment horizontal="center" vertical="center"/>
    </xf>
    <xf numFmtId="0" fontId="13" fillId="6" borderId="11" xfId="0" applyFont="1" applyFill="1" applyBorder="1" applyAlignment="1">
      <alignment horizontal="left" vertical="center" wrapText="1"/>
    </xf>
    <xf numFmtId="164" fontId="13" fillId="6" borderId="4" xfId="6" applyFont="1" applyFill="1" applyBorder="1" applyAlignment="1">
      <alignment horizontal="center" vertical="center" wrapText="1"/>
    </xf>
    <xf numFmtId="168" fontId="13" fillId="6" borderId="7" xfId="6" applyNumberFormat="1" applyFont="1" applyFill="1" applyBorder="1" applyAlignment="1">
      <alignment horizontal="center" vertical="center"/>
    </xf>
    <xf numFmtId="164" fontId="13" fillId="6" borderId="15" xfId="6" applyNumberFormat="1" applyFont="1" applyFill="1" applyBorder="1" applyAlignment="1">
      <alignment horizontal="center" vertical="center"/>
    </xf>
    <xf numFmtId="164" fontId="13" fillId="6" borderId="7" xfId="6" applyNumberFormat="1" applyFont="1" applyFill="1" applyBorder="1" applyAlignment="1">
      <alignment horizontal="center" vertical="center"/>
    </xf>
    <xf numFmtId="164" fontId="13" fillId="0" borderId="7" xfId="6" applyNumberFormat="1" applyFont="1" applyFill="1" applyBorder="1" applyAlignment="1">
      <alignment horizontal="center" vertical="center"/>
    </xf>
    <xf numFmtId="164" fontId="8" fillId="0" borderId="0" xfId="0" applyNumberFormat="1" applyFont="1"/>
    <xf numFmtId="164" fontId="13" fillId="6" borderId="15" xfId="6" applyFont="1" applyFill="1" applyBorder="1" applyAlignment="1">
      <alignment horizontal="right" vertical="center"/>
    </xf>
    <xf numFmtId="164" fontId="13" fillId="6" borderId="15" xfId="6" applyFont="1" applyFill="1" applyBorder="1" applyAlignment="1">
      <alignment horizontal="center" vertical="center"/>
    </xf>
    <xf numFmtId="164" fontId="8" fillId="0" borderId="0" xfId="0" applyNumberFormat="1" applyFont="1" applyAlignment="1">
      <alignment vertical="center"/>
    </xf>
    <xf numFmtId="0" fontId="13" fillId="0" borderId="8" xfId="0" applyFont="1" applyFill="1" applyBorder="1" applyAlignment="1">
      <alignment horizontal="center" vertical="center"/>
    </xf>
    <xf numFmtId="0" fontId="13" fillId="0" borderId="41" xfId="0" applyFont="1" applyFill="1" applyBorder="1" applyAlignment="1">
      <alignment horizontal="left" vertical="center" wrapText="1"/>
    </xf>
    <xf numFmtId="164" fontId="13" fillId="0" borderId="5" xfId="6" applyFont="1" applyFill="1" applyBorder="1" applyAlignment="1">
      <alignment horizontal="center" vertical="center" wrapText="1"/>
    </xf>
    <xf numFmtId="167" fontId="13" fillId="0" borderId="8" xfId="6" applyNumberFormat="1" applyFont="1" applyFill="1" applyBorder="1" applyAlignment="1">
      <alignment horizontal="center" vertical="center"/>
    </xf>
    <xf numFmtId="164" fontId="13" fillId="0" borderId="42" xfId="6" applyFont="1" applyFill="1" applyBorder="1" applyAlignment="1">
      <alignment horizontal="right" vertical="center"/>
    </xf>
    <xf numFmtId="164" fontId="13" fillId="0" borderId="8" xfId="6" applyFont="1" applyFill="1" applyBorder="1" applyAlignment="1">
      <alignment horizontal="right" vertical="center"/>
    </xf>
    <xf numFmtId="168" fontId="9" fillId="0" borderId="2" xfId="0" applyNumberFormat="1" applyFont="1" applyFill="1" applyBorder="1" applyAlignment="1">
      <alignment horizontal="center" vertical="center" wrapText="1"/>
    </xf>
    <xf numFmtId="164" fontId="9" fillId="0" borderId="1" xfId="6" applyNumberFormat="1" applyFont="1" applyFill="1" applyBorder="1" applyAlignment="1">
      <alignment horizontal="center" vertical="center"/>
    </xf>
    <xf numFmtId="164" fontId="9" fillId="0" borderId="1" xfId="6" applyFont="1" applyFill="1" applyBorder="1" applyAlignment="1">
      <alignment horizontal="right" vertical="center"/>
    </xf>
    <xf numFmtId="0" fontId="8" fillId="0" borderId="0" xfId="0" applyFont="1" applyAlignment="1">
      <alignment vertical="center" wrapText="1"/>
    </xf>
    <xf numFmtId="0" fontId="9" fillId="0" borderId="0" xfId="0" applyFont="1" applyBorder="1" applyAlignment="1">
      <alignment vertical="center" wrapText="1"/>
    </xf>
    <xf numFmtId="0" fontId="13" fillId="0" borderId="0" xfId="0" applyFont="1"/>
    <xf numFmtId="14" fontId="26" fillId="0" borderId="0" xfId="0" applyNumberFormat="1" applyFont="1" applyAlignment="1">
      <alignment horizontal="center" vertical="center"/>
    </xf>
    <xf numFmtId="170" fontId="27" fillId="0" borderId="0" xfId="0" applyNumberFormat="1" applyFont="1" applyFill="1" applyAlignment="1">
      <alignment horizontal="center" vertical="center"/>
    </xf>
    <xf numFmtId="170" fontId="27" fillId="0" borderId="0" xfId="0" applyNumberFormat="1" applyFont="1" applyAlignment="1">
      <alignment horizontal="center" vertical="center"/>
    </xf>
    <xf numFmtId="164" fontId="13" fillId="0" borderId="0" xfId="6" applyFont="1"/>
    <xf numFmtId="0" fontId="27" fillId="0" borderId="0" xfId="0" applyFont="1" applyAlignment="1">
      <alignment horizontal="center" vertical="center"/>
    </xf>
    <xf numFmtId="0" fontId="8" fillId="0" borderId="0" xfId="0" applyFont="1" applyAlignment="1">
      <alignment horizontal="center"/>
    </xf>
    <xf numFmtId="164" fontId="8" fillId="0" borderId="0" xfId="6" applyFont="1"/>
    <xf numFmtId="14" fontId="13" fillId="0" borderId="0" xfId="0" applyNumberFormat="1" applyFont="1" applyAlignment="1">
      <alignment horizontal="center" vertical="center"/>
    </xf>
    <xf numFmtId="3" fontId="8" fillId="0" borderId="0" xfId="0" applyNumberFormat="1" applyFont="1"/>
    <xf numFmtId="9" fontId="8" fillId="0" borderId="0" xfId="0" applyNumberFormat="1" applyFont="1"/>
    <xf numFmtId="1" fontId="13" fillId="0" borderId="40" xfId="2" applyNumberFormat="1" applyFont="1" applyBorder="1" applyAlignment="1">
      <alignment horizontal="center" vertical="center"/>
    </xf>
    <xf numFmtId="43" fontId="13" fillId="2" borderId="6" xfId="1" applyFont="1" applyFill="1" applyBorder="1" applyAlignment="1">
      <alignment horizontal="center" vertical="center"/>
    </xf>
    <xf numFmtId="164" fontId="0" fillId="0" borderId="0" xfId="0" applyNumberFormat="1"/>
    <xf numFmtId="43" fontId="13" fillId="2" borderId="37" xfId="1" applyFont="1" applyFill="1" applyBorder="1" applyAlignment="1">
      <alignment horizontal="center" vertical="center"/>
    </xf>
    <xf numFmtId="14" fontId="13" fillId="0" borderId="25" xfId="0" applyNumberFormat="1" applyFont="1" applyBorder="1" applyAlignment="1">
      <alignment horizontal="center" vertical="center"/>
    </xf>
    <xf numFmtId="43" fontId="13" fillId="0" borderId="40" xfId="1" applyFont="1" applyBorder="1" applyAlignment="1">
      <alignment horizontal="center" vertical="center"/>
    </xf>
    <xf numFmtId="9" fontId="13" fillId="0" borderId="35" xfId="2" applyFont="1" applyBorder="1" applyAlignment="1">
      <alignment horizontal="center" vertical="center"/>
    </xf>
    <xf numFmtId="0" fontId="13" fillId="0" borderId="6" xfId="2" applyNumberFormat="1" applyFont="1" applyBorder="1" applyAlignment="1">
      <alignment horizontal="center" vertical="center"/>
    </xf>
    <xf numFmtId="43" fontId="13" fillId="2" borderId="39" xfId="1" applyFont="1" applyFill="1" applyBorder="1" applyAlignment="1">
      <alignment horizontal="center" vertical="center"/>
    </xf>
    <xf numFmtId="14" fontId="13" fillId="0" borderId="26" xfId="0" applyNumberFormat="1" applyFont="1" applyBorder="1" applyAlignment="1">
      <alignment horizontal="center" vertical="center"/>
    </xf>
    <xf numFmtId="0" fontId="13" fillId="0" borderId="7" xfId="2" applyNumberFormat="1" applyFont="1" applyBorder="1" applyAlignment="1">
      <alignment horizontal="center" vertical="center"/>
    </xf>
    <xf numFmtId="9" fontId="13" fillId="0" borderId="4" xfId="2" applyFont="1" applyBorder="1" applyAlignment="1">
      <alignment horizontal="center" vertical="center"/>
    </xf>
    <xf numFmtId="43" fontId="13" fillId="2" borderId="7" xfId="1" applyFont="1" applyFill="1" applyBorder="1" applyAlignment="1">
      <alignment horizontal="center" vertical="center"/>
    </xf>
    <xf numFmtId="43" fontId="13" fillId="2" borderId="11" xfId="1" applyFont="1" applyFill="1" applyBorder="1" applyAlignment="1">
      <alignment horizontal="center" vertical="center"/>
    </xf>
    <xf numFmtId="14" fontId="13" fillId="0" borderId="30" xfId="0" applyNumberFormat="1" applyFont="1" applyBorder="1" applyAlignment="1">
      <alignment horizontal="center" vertical="center"/>
    </xf>
    <xf numFmtId="0" fontId="13" fillId="0" borderId="37" xfId="2" applyNumberFormat="1" applyFont="1" applyBorder="1" applyAlignment="1">
      <alignment horizontal="center" vertical="center"/>
    </xf>
    <xf numFmtId="43" fontId="13" fillId="0" borderId="13" xfId="1" applyFont="1" applyBorder="1" applyAlignment="1">
      <alignment horizontal="center" vertical="center"/>
    </xf>
    <xf numFmtId="9" fontId="13" fillId="0" borderId="2" xfId="2" applyFont="1" applyBorder="1" applyAlignment="1">
      <alignment horizontal="center" vertical="center"/>
    </xf>
    <xf numFmtId="0" fontId="13" fillId="0" borderId="1" xfId="2" applyNumberFormat="1" applyFont="1" applyBorder="1" applyAlignment="1">
      <alignment horizontal="center" vertical="center"/>
    </xf>
    <xf numFmtId="1" fontId="13" fillId="0" borderId="13" xfId="2" applyNumberFormat="1" applyFont="1" applyBorder="1" applyAlignment="1">
      <alignment horizontal="center" vertical="center"/>
    </xf>
    <xf numFmtId="43" fontId="13" fillId="6" borderId="1" xfId="1" applyFont="1" applyFill="1" applyBorder="1" applyAlignment="1">
      <alignment horizontal="center" vertical="center"/>
    </xf>
    <xf numFmtId="43" fontId="13" fillId="6" borderId="9" xfId="1" applyFont="1" applyFill="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vertical="center" wrapText="1"/>
    </xf>
    <xf numFmtId="0" fontId="8" fillId="0" borderId="0" xfId="0" applyFont="1" applyAlignment="1">
      <alignment horizontal="center" vertical="center"/>
    </xf>
    <xf numFmtId="0" fontId="8" fillId="0" borderId="0" xfId="0" applyFont="1" applyBorder="1"/>
    <xf numFmtId="165" fontId="13" fillId="2" borderId="29" xfId="1" applyNumberFormat="1" applyFont="1" applyFill="1" applyBorder="1" applyAlignment="1">
      <alignment horizontal="center" vertical="center"/>
    </xf>
    <xf numFmtId="166" fontId="9" fillId="7" borderId="29" xfId="1" applyNumberFormat="1" applyFont="1" applyFill="1" applyBorder="1" applyAlignment="1">
      <alignment horizontal="center" vertical="center"/>
    </xf>
    <xf numFmtId="43" fontId="30" fillId="2" borderId="0" xfId="1" applyFont="1" applyFill="1" applyBorder="1" applyAlignment="1">
      <alignment horizontal="right" vertical="center"/>
    </xf>
    <xf numFmtId="0" fontId="8" fillId="0" borderId="0" xfId="0" applyFont="1" applyAlignment="1">
      <alignment vertical="center"/>
    </xf>
    <xf numFmtId="10" fontId="31" fillId="2" borderId="0" xfId="2" applyNumberFormat="1" applyFont="1" applyFill="1" applyBorder="1" applyAlignment="1">
      <alignment vertical="center"/>
    </xf>
    <xf numFmtId="43" fontId="8" fillId="0" borderId="0" xfId="0" applyNumberFormat="1" applyFont="1"/>
    <xf numFmtId="0" fontId="25" fillId="0" borderId="0"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horizontal="center" vertical="center"/>
    </xf>
    <xf numFmtId="0" fontId="32" fillId="0" borderId="0" xfId="0" applyFont="1" applyBorder="1" applyAlignment="1">
      <alignment vertical="center"/>
    </xf>
    <xf numFmtId="0" fontId="20" fillId="4" borderId="20" xfId="0" applyFont="1" applyFill="1" applyBorder="1" applyAlignment="1">
      <alignment horizontal="center" vertical="center" wrapText="1"/>
    </xf>
    <xf numFmtId="167" fontId="20" fillId="2" borderId="36" xfId="6" applyNumberFormat="1" applyFont="1" applyFill="1" applyBorder="1" applyAlignment="1">
      <alignment horizontal="center" vertical="center"/>
    </xf>
    <xf numFmtId="167" fontId="20" fillId="2" borderId="37" xfId="6" applyNumberFormat="1" applyFont="1" applyFill="1" applyBorder="1" applyAlignment="1">
      <alignment horizontal="center" vertical="center"/>
    </xf>
    <xf numFmtId="167" fontId="20" fillId="2" borderId="0" xfId="6" applyNumberFormat="1" applyFont="1" applyFill="1" applyBorder="1" applyAlignment="1">
      <alignment horizontal="center" vertical="center" wrapText="1"/>
    </xf>
    <xf numFmtId="0" fontId="34" fillId="2" borderId="7" xfId="0" applyFont="1" applyFill="1" applyBorder="1" applyAlignment="1">
      <alignment horizontal="left" vertical="center" wrapText="1" readingOrder="1"/>
    </xf>
    <xf numFmtId="0" fontId="9" fillId="2" borderId="8" xfId="0" applyFont="1" applyFill="1" applyBorder="1" applyAlignment="1">
      <alignment horizontal="center" vertical="center" wrapText="1"/>
    </xf>
    <xf numFmtId="0" fontId="34" fillId="2" borderId="11" xfId="0" applyFont="1" applyFill="1" applyBorder="1" applyAlignment="1">
      <alignment horizontal="center" vertical="center" wrapText="1" readingOrder="1"/>
    </xf>
    <xf numFmtId="165" fontId="34" fillId="2" borderId="4" xfId="1" applyNumberFormat="1" applyFont="1" applyFill="1" applyBorder="1" applyAlignment="1">
      <alignment horizontal="center" vertical="center" wrapText="1" readingOrder="1"/>
    </xf>
    <xf numFmtId="0" fontId="34" fillId="2" borderId="4" xfId="0" applyFont="1" applyFill="1" applyBorder="1" applyAlignment="1">
      <alignment horizontal="center" vertical="center" wrapText="1" readingOrder="1"/>
    </xf>
    <xf numFmtId="0" fontId="34" fillId="2" borderId="7" xfId="0" applyFont="1" applyFill="1" applyBorder="1" applyAlignment="1">
      <alignment horizontal="center" vertical="center" wrapText="1" readingOrder="1"/>
    </xf>
    <xf numFmtId="165" fontId="34" fillId="2" borderId="11" xfId="1" applyNumberFormat="1" applyFont="1" applyFill="1" applyBorder="1" applyAlignment="1">
      <alignment vertical="center" wrapText="1" readingOrder="1"/>
    </xf>
    <xf numFmtId="165" fontId="34" fillId="2" borderId="15" xfId="1" applyNumberFormat="1" applyFont="1" applyFill="1" applyBorder="1" applyAlignment="1">
      <alignment vertical="center" wrapText="1" readingOrder="1"/>
    </xf>
    <xf numFmtId="2" fontId="13" fillId="0" borderId="7" xfId="0" applyNumberFormat="1" applyFont="1" applyBorder="1" applyAlignment="1">
      <alignment horizontal="center" vertical="center"/>
    </xf>
    <xf numFmtId="0" fontId="13" fillId="0" borderId="12" xfId="0" applyFont="1" applyBorder="1" applyAlignment="1">
      <alignment horizontal="center" vertical="center" wrapText="1"/>
    </xf>
    <xf numFmtId="0" fontId="13" fillId="2" borderId="18" xfId="1" applyNumberFormat="1" applyFont="1" applyFill="1" applyBorder="1" applyAlignment="1">
      <alignment horizontal="center" vertical="center"/>
    </xf>
    <xf numFmtId="9" fontId="13" fillId="0" borderId="8" xfId="2" applyFont="1" applyBorder="1" applyAlignment="1">
      <alignment horizontal="center" vertical="center" wrapText="1"/>
    </xf>
    <xf numFmtId="0" fontId="35" fillId="2" borderId="2" xfId="0" applyFont="1" applyFill="1" applyBorder="1" applyAlignment="1">
      <alignment horizontal="center" vertical="center" wrapText="1" readingOrder="1"/>
    </xf>
    <xf numFmtId="0" fontId="35" fillId="2" borderId="1" xfId="0" applyFont="1" applyFill="1" applyBorder="1" applyAlignment="1">
      <alignment horizontal="center" vertical="center" wrapText="1" readingOrder="1"/>
    </xf>
    <xf numFmtId="0" fontId="35" fillId="2" borderId="9" xfId="0" applyFont="1" applyFill="1" applyBorder="1" applyAlignment="1">
      <alignment horizontal="center" vertical="center" wrapText="1" readingOrder="1"/>
    </xf>
    <xf numFmtId="0" fontId="35" fillId="2" borderId="13" xfId="0" applyFont="1" applyFill="1" applyBorder="1" applyAlignment="1">
      <alignment horizontal="center" vertical="center" wrapText="1" readingOrder="1"/>
    </xf>
    <xf numFmtId="165" fontId="34" fillId="2" borderId="7" xfId="1" applyNumberFormat="1" applyFont="1" applyFill="1" applyBorder="1" applyAlignment="1">
      <alignment vertical="center" wrapText="1" readingOrder="1"/>
    </xf>
    <xf numFmtId="0" fontId="13" fillId="2" borderId="5" xfId="0" applyFont="1" applyFill="1" applyBorder="1" applyAlignment="1">
      <alignment horizontal="center" vertical="center"/>
    </xf>
    <xf numFmtId="165" fontId="13" fillId="2" borderId="19" xfId="1" applyNumberFormat="1" applyFont="1" applyFill="1" applyBorder="1" applyAlignment="1">
      <alignment vertical="center" readingOrder="1"/>
    </xf>
    <xf numFmtId="165" fontId="34" fillId="2" borderId="16" xfId="1" applyNumberFormat="1" applyFont="1" applyFill="1" applyBorder="1" applyAlignment="1">
      <alignment vertical="center" wrapText="1" readingOrder="1"/>
    </xf>
    <xf numFmtId="0" fontId="13" fillId="2" borderId="2" xfId="0" applyFont="1" applyFill="1" applyBorder="1" applyAlignment="1">
      <alignment horizontal="center" vertical="center"/>
    </xf>
    <xf numFmtId="0" fontId="13" fillId="0" borderId="1" xfId="0" applyFont="1" applyBorder="1" applyAlignment="1">
      <alignment horizontal="center" vertical="center" wrapText="1"/>
    </xf>
    <xf numFmtId="167" fontId="13" fillId="2" borderId="1" xfId="1" applyNumberFormat="1" applyFont="1" applyFill="1" applyBorder="1" applyAlignment="1">
      <alignment horizontal="center" vertical="center"/>
    </xf>
    <xf numFmtId="0" fontId="13" fillId="2" borderId="1" xfId="1" applyNumberFormat="1" applyFont="1" applyFill="1" applyBorder="1" applyAlignment="1">
      <alignment horizontal="center" vertical="center"/>
    </xf>
    <xf numFmtId="0" fontId="13" fillId="2" borderId="13" xfId="1" applyNumberFormat="1" applyFont="1" applyFill="1" applyBorder="1" applyAlignment="1">
      <alignment horizontal="center" vertical="center"/>
    </xf>
    <xf numFmtId="9" fontId="13" fillId="0" borderId="9" xfId="2" applyFont="1" applyBorder="1" applyAlignment="1">
      <alignment horizontal="center" vertical="center" wrapText="1"/>
    </xf>
    <xf numFmtId="0" fontId="13" fillId="0" borderId="0" xfId="0" applyFont="1" applyAlignment="1"/>
    <xf numFmtId="0" fontId="13" fillId="0" borderId="0" xfId="0" applyFont="1" applyAlignment="1">
      <alignment horizontal="left" readingOrder="1"/>
    </xf>
    <xf numFmtId="43" fontId="26" fillId="0" borderId="0" xfId="1" applyNumberFormat="1" applyFont="1" applyAlignment="1">
      <alignment horizontal="left"/>
    </xf>
    <xf numFmtId="0" fontId="26" fillId="0" borderId="0" xfId="0" applyFont="1" applyAlignment="1"/>
    <xf numFmtId="0" fontId="36" fillId="0" borderId="0" xfId="0" applyFont="1" applyAlignment="1"/>
    <xf numFmtId="10" fontId="26" fillId="0" borderId="0" xfId="2" applyNumberFormat="1" applyFont="1" applyAlignment="1"/>
    <xf numFmtId="43" fontId="26" fillId="0" borderId="0" xfId="1" applyFont="1" applyAlignment="1"/>
    <xf numFmtId="43" fontId="26" fillId="0" borderId="0" xfId="1" applyNumberFormat="1" applyFont="1" applyBorder="1" applyAlignment="1">
      <alignment vertical="center" readingOrder="1"/>
    </xf>
    <xf numFmtId="2" fontId="30" fillId="0" borderId="0" xfId="0" applyNumberFormat="1" applyFont="1" applyAlignment="1"/>
    <xf numFmtId="0" fontId="37" fillId="0" borderId="0" xfId="0" applyFont="1" applyAlignment="1"/>
    <xf numFmtId="10" fontId="26" fillId="0" borderId="0" xfId="2" applyNumberFormat="1" applyFont="1" applyBorder="1" applyAlignment="1">
      <alignment vertical="center" readingOrder="1"/>
    </xf>
    <xf numFmtId="0" fontId="13" fillId="2" borderId="8" xfId="0" applyFont="1" applyFill="1" applyBorder="1" applyAlignment="1">
      <alignment horizontal="center" vertical="center" wrapText="1"/>
    </xf>
    <xf numFmtId="0" fontId="18" fillId="0" borderId="0" xfId="0" applyFont="1" applyAlignment="1">
      <alignment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6" xfId="0" applyFont="1" applyBorder="1" applyAlignment="1">
      <alignment horizontal="center" vertical="center" wrapText="1"/>
    </xf>
    <xf numFmtId="167" fontId="20" fillId="0" borderId="43" xfId="6" applyNumberFormat="1" applyFont="1" applyBorder="1" applyAlignment="1">
      <alignment horizontal="center" vertical="center"/>
    </xf>
    <xf numFmtId="167" fontId="20" fillId="0" borderId="6" xfId="6" applyNumberFormat="1" applyFont="1" applyBorder="1" applyAlignment="1">
      <alignment horizontal="center" vertical="center"/>
    </xf>
    <xf numFmtId="167" fontId="20" fillId="0" borderId="8" xfId="6" applyNumberFormat="1" applyFont="1" applyBorder="1" applyAlignment="1">
      <alignment horizontal="center" vertical="center"/>
    </xf>
    <xf numFmtId="0" fontId="20" fillId="4" borderId="27" xfId="0" applyFont="1" applyFill="1" applyBorder="1" applyAlignment="1">
      <alignment horizontal="center" vertical="center"/>
    </xf>
    <xf numFmtId="167" fontId="20" fillId="2" borderId="2" xfId="6" applyNumberFormat="1" applyFont="1" applyFill="1" applyBorder="1" applyAlignment="1">
      <alignment horizontal="center" vertical="center"/>
    </xf>
    <xf numFmtId="167" fontId="20" fillId="2" borderId="39" xfId="6" applyNumberFormat="1" applyFont="1" applyFill="1" applyBorder="1" applyAlignment="1">
      <alignment horizontal="center" vertical="center"/>
    </xf>
    <xf numFmtId="167" fontId="20" fillId="2" borderId="41" xfId="6" applyNumberFormat="1" applyFont="1" applyFill="1" applyBorder="1" applyAlignment="1">
      <alignment horizontal="center" vertical="center"/>
    </xf>
    <xf numFmtId="167" fontId="20" fillId="2" borderId="3" xfId="6" applyNumberFormat="1" applyFont="1" applyFill="1" applyBorder="1" applyAlignment="1">
      <alignment horizontal="center" vertical="center"/>
    </xf>
    <xf numFmtId="167" fontId="20" fillId="2" borderId="5" xfId="6" applyNumberFormat="1" applyFont="1" applyFill="1" applyBorder="1" applyAlignment="1">
      <alignment horizontal="center" vertical="center"/>
    </xf>
    <xf numFmtId="167" fontId="20" fillId="3" borderId="9" xfId="0" applyNumberFormat="1" applyFont="1" applyFill="1" applyBorder="1" applyAlignment="1">
      <alignment vertical="center"/>
    </xf>
    <xf numFmtId="0" fontId="20" fillId="4" borderId="20" xfId="0" applyFont="1" applyFill="1" applyBorder="1" applyAlignment="1">
      <alignment horizontal="center" vertical="center"/>
    </xf>
    <xf numFmtId="167" fontId="11" fillId="2" borderId="6" xfId="6" applyNumberFormat="1" applyFont="1" applyFill="1" applyBorder="1" applyAlignment="1">
      <alignment horizontal="center" vertical="center"/>
    </xf>
    <xf numFmtId="167" fontId="11" fillId="2" borderId="8" xfId="6" applyNumberFormat="1" applyFont="1" applyFill="1" applyBorder="1" applyAlignment="1">
      <alignment horizontal="center" vertical="center"/>
    </xf>
    <xf numFmtId="167" fontId="20" fillId="2" borderId="9" xfId="6" applyNumberFormat="1" applyFont="1" applyFill="1" applyBorder="1" applyAlignment="1">
      <alignment horizontal="center" vertical="center"/>
    </xf>
    <xf numFmtId="167" fontId="20" fillId="2" borderId="10" xfId="6" applyNumberFormat="1" applyFont="1" applyFill="1" applyBorder="1" applyAlignment="1">
      <alignment horizontal="center" vertical="center"/>
    </xf>
    <xf numFmtId="167" fontId="20" fillId="2" borderId="12" xfId="6" applyNumberFormat="1" applyFont="1" applyFill="1" applyBorder="1" applyAlignment="1">
      <alignment horizontal="center" vertical="center"/>
    </xf>
    <xf numFmtId="167" fontId="20" fillId="0" borderId="10" xfId="6" applyNumberFormat="1" applyFont="1" applyBorder="1" applyAlignment="1">
      <alignment horizontal="center" vertical="center"/>
    </xf>
    <xf numFmtId="0" fontId="20" fillId="4" borderId="28" xfId="0" applyFont="1" applyFill="1" applyBorder="1" applyAlignment="1">
      <alignment horizontal="center" vertical="center"/>
    </xf>
    <xf numFmtId="167" fontId="20" fillId="2" borderId="35" xfId="6" applyNumberFormat="1" applyFont="1" applyFill="1" applyBorder="1" applyAlignment="1">
      <alignment horizontal="center" vertical="center"/>
    </xf>
    <xf numFmtId="167" fontId="20" fillId="2" borderId="17" xfId="6" applyNumberFormat="1" applyFont="1" applyFill="1" applyBorder="1" applyAlignment="1">
      <alignment horizontal="center" vertical="center"/>
    </xf>
    <xf numFmtId="0" fontId="12" fillId="0" borderId="0" xfId="0" applyFont="1" applyAlignment="1"/>
    <xf numFmtId="43" fontId="0" fillId="0" borderId="0" xfId="1" applyFont="1"/>
    <xf numFmtId="0" fontId="4" fillId="0" borderId="0" xfId="0" applyFont="1" applyAlignment="1">
      <alignment horizontal="left"/>
    </xf>
    <xf numFmtId="0" fontId="30" fillId="2" borderId="0" xfId="1" applyNumberFormat="1" applyFont="1" applyFill="1" applyBorder="1" applyAlignment="1">
      <alignment horizontal="center" vertical="center"/>
    </xf>
    <xf numFmtId="0" fontId="34" fillId="2" borderId="37" xfId="0" applyFont="1" applyFill="1" applyBorder="1" applyAlignment="1">
      <alignment horizontal="left" vertical="center" wrapText="1" readingOrder="1"/>
    </xf>
    <xf numFmtId="0" fontId="34" fillId="2" borderId="39" xfId="0" applyFont="1" applyFill="1" applyBorder="1" applyAlignment="1">
      <alignment horizontal="center" vertical="center" wrapText="1" readingOrder="1"/>
    </xf>
    <xf numFmtId="165" fontId="34" fillId="2" borderId="35" xfId="1" applyNumberFormat="1" applyFont="1" applyFill="1" applyBorder="1" applyAlignment="1">
      <alignment horizontal="center" vertical="center" wrapText="1" readingOrder="1"/>
    </xf>
    <xf numFmtId="0" fontId="34" fillId="2" borderId="35" xfId="0" applyFont="1" applyFill="1" applyBorder="1" applyAlignment="1">
      <alignment horizontal="center" vertical="center" wrapText="1" readingOrder="1"/>
    </xf>
    <xf numFmtId="0" fontId="34" fillId="2" borderId="37" xfId="0" applyFont="1" applyFill="1" applyBorder="1" applyAlignment="1">
      <alignment horizontal="center" vertical="center" wrapText="1" readingOrder="1"/>
    </xf>
    <xf numFmtId="165" fontId="34" fillId="2" borderId="39" xfId="1" applyNumberFormat="1" applyFont="1" applyFill="1" applyBorder="1" applyAlignment="1">
      <alignment vertical="center" wrapText="1" readingOrder="1"/>
    </xf>
    <xf numFmtId="165" fontId="34" fillId="2" borderId="37" xfId="1" applyNumberFormat="1" applyFont="1" applyFill="1" applyBorder="1" applyAlignment="1">
      <alignment vertical="center" wrapText="1" readingOrder="1"/>
    </xf>
    <xf numFmtId="165" fontId="34" fillId="2" borderId="40" xfId="1" applyNumberFormat="1" applyFont="1" applyFill="1" applyBorder="1" applyAlignment="1">
      <alignment vertical="center" wrapText="1" readingOrder="1"/>
    </xf>
    <xf numFmtId="165" fontId="34" fillId="2" borderId="4" xfId="1" applyNumberFormat="1" applyFont="1" applyFill="1" applyBorder="1" applyAlignment="1">
      <alignment vertical="center" wrapText="1" readingOrder="1"/>
    </xf>
    <xf numFmtId="165" fontId="34" fillId="2" borderId="35" xfId="1" applyNumberFormat="1" applyFont="1" applyFill="1" applyBorder="1" applyAlignment="1">
      <alignment vertical="center" wrapText="1" readingOrder="1"/>
    </xf>
    <xf numFmtId="167" fontId="0" fillId="0" borderId="0" xfId="0" applyNumberFormat="1" applyFont="1" applyAlignment="1"/>
    <xf numFmtId="167" fontId="36" fillId="0" borderId="0" xfId="0" applyNumberFormat="1" applyFont="1" applyAlignment="1"/>
    <xf numFmtId="167" fontId="33" fillId="2" borderId="1" xfId="1" applyNumberFormat="1" applyFont="1" applyFill="1" applyBorder="1" applyAlignment="1">
      <alignment horizontal="center" vertical="center"/>
    </xf>
    <xf numFmtId="165" fontId="0" fillId="0" borderId="0" xfId="0" applyNumberFormat="1" applyFont="1" applyAlignment="1"/>
    <xf numFmtId="165" fontId="34" fillId="2" borderId="37" xfId="1" applyNumberFormat="1" applyFont="1" applyFill="1" applyBorder="1" applyAlignment="1">
      <alignment horizontal="center" vertical="center" wrapText="1" readingOrder="1"/>
    </xf>
    <xf numFmtId="165" fontId="34" fillId="2" borderId="7" xfId="1" applyNumberFormat="1" applyFont="1" applyFill="1" applyBorder="1" applyAlignment="1">
      <alignment horizontal="center" vertical="center" wrapText="1" readingOrder="1"/>
    </xf>
    <xf numFmtId="0" fontId="42" fillId="0" borderId="0" xfId="4" applyFont="1"/>
    <xf numFmtId="0" fontId="43" fillId="0" borderId="0" xfId="0" applyFont="1"/>
    <xf numFmtId="0" fontId="44" fillId="2" borderId="0" xfId="4" applyFont="1" applyFill="1" applyBorder="1" applyAlignment="1">
      <alignment horizontal="center" wrapText="1"/>
    </xf>
    <xf numFmtId="0" fontId="42" fillId="0" borderId="0" xfId="4" applyFont="1" applyFill="1"/>
    <xf numFmtId="0" fontId="43" fillId="0" borderId="0" xfId="0" applyFont="1" applyFill="1"/>
    <xf numFmtId="175" fontId="44" fillId="2" borderId="1" xfId="4" applyNumberFormat="1" applyFont="1" applyFill="1" applyBorder="1" applyAlignment="1">
      <alignment horizontal="center" vertical="center" wrapText="1"/>
    </xf>
    <xf numFmtId="0" fontId="42" fillId="2" borderId="44" xfId="4" applyFont="1" applyFill="1" applyBorder="1" applyAlignment="1">
      <alignment horizontal="center"/>
    </xf>
    <xf numFmtId="173" fontId="42" fillId="2" borderId="45" xfId="4" applyNumberFormat="1" applyFont="1" applyFill="1" applyBorder="1"/>
    <xf numFmtId="10" fontId="42" fillId="2" borderId="44" xfId="5" applyNumberFormat="1" applyFont="1" applyFill="1" applyBorder="1" applyAlignment="1">
      <alignment horizontal="center"/>
    </xf>
    <xf numFmtId="174" fontId="42" fillId="2" borderId="45" xfId="4" applyNumberFormat="1" applyFont="1" applyFill="1" applyBorder="1" applyAlignment="1">
      <alignment horizontal="center"/>
    </xf>
    <xf numFmtId="174" fontId="42" fillId="2" borderId="44" xfId="4" applyNumberFormat="1" applyFont="1" applyFill="1" applyBorder="1" applyAlignment="1">
      <alignment horizontal="center"/>
    </xf>
    <xf numFmtId="175" fontId="42" fillId="2" borderId="45" xfId="4" applyNumberFormat="1" applyFont="1" applyFill="1" applyBorder="1"/>
    <xf numFmtId="175" fontId="42" fillId="2" borderId="46" xfId="4" applyNumberFormat="1" applyFont="1" applyFill="1" applyBorder="1"/>
    <xf numFmtId="175" fontId="42" fillId="2" borderId="44" xfId="4" applyNumberFormat="1" applyFont="1" applyFill="1" applyBorder="1"/>
    <xf numFmtId="175" fontId="42" fillId="2" borderId="47" xfId="4" applyNumberFormat="1" applyFont="1" applyFill="1" applyBorder="1"/>
    <xf numFmtId="0" fontId="42" fillId="2" borderId="48" xfId="4" applyFont="1" applyFill="1" applyBorder="1" applyAlignment="1">
      <alignment horizontal="center"/>
    </xf>
    <xf numFmtId="173" fontId="42" fillId="2" borderId="49" xfId="4" applyNumberFormat="1" applyFont="1" applyFill="1" applyBorder="1"/>
    <xf numFmtId="10" fontId="42" fillId="2" borderId="48" xfId="5" applyNumberFormat="1" applyFont="1" applyFill="1" applyBorder="1" applyAlignment="1">
      <alignment horizontal="center"/>
    </xf>
    <xf numFmtId="174" fontId="42" fillId="2" borderId="49" xfId="4" applyNumberFormat="1" applyFont="1" applyFill="1" applyBorder="1" applyAlignment="1">
      <alignment horizontal="center"/>
    </xf>
    <xf numFmtId="174" fontId="42" fillId="2" borderId="48" xfId="4" applyNumberFormat="1" applyFont="1" applyFill="1" applyBorder="1" applyAlignment="1">
      <alignment horizontal="center"/>
    </xf>
    <xf numFmtId="175" fontId="42" fillId="2" borderId="49" xfId="4" applyNumberFormat="1" applyFont="1" applyFill="1" applyBorder="1"/>
    <xf numFmtId="175" fontId="42" fillId="2" borderId="50" xfId="4" applyNumberFormat="1" applyFont="1" applyFill="1" applyBorder="1"/>
    <xf numFmtId="175" fontId="42" fillId="2" borderId="48" xfId="4" applyNumberFormat="1" applyFont="1" applyFill="1" applyBorder="1"/>
    <xf numFmtId="175" fontId="42" fillId="2" borderId="51" xfId="4" applyNumberFormat="1" applyFont="1" applyFill="1" applyBorder="1"/>
    <xf numFmtId="0" fontId="42" fillId="2" borderId="52" xfId="4" applyFont="1" applyFill="1" applyBorder="1" applyAlignment="1">
      <alignment horizontal="center"/>
    </xf>
    <xf numFmtId="173" fontId="42" fillId="2" borderId="53" xfId="4" applyNumberFormat="1" applyFont="1" applyFill="1" applyBorder="1"/>
    <xf numFmtId="10" fontId="42" fillId="2" borderId="52" xfId="5" applyNumberFormat="1" applyFont="1" applyFill="1" applyBorder="1" applyAlignment="1">
      <alignment horizontal="center"/>
    </xf>
    <xf numFmtId="174" fontId="42" fillId="2" borderId="53" xfId="4" applyNumberFormat="1" applyFont="1" applyFill="1" applyBorder="1" applyAlignment="1">
      <alignment horizontal="center"/>
    </xf>
    <xf numFmtId="174" fontId="42" fillId="2" borderId="52" xfId="4" applyNumberFormat="1" applyFont="1" applyFill="1" applyBorder="1" applyAlignment="1">
      <alignment horizontal="center"/>
    </xf>
    <xf numFmtId="0" fontId="42" fillId="2" borderId="54" xfId="4" applyFont="1" applyFill="1" applyBorder="1" applyAlignment="1">
      <alignment horizontal="center"/>
    </xf>
    <xf numFmtId="175" fontId="42" fillId="2" borderId="53" xfId="4" applyNumberFormat="1" applyFont="1" applyFill="1" applyBorder="1"/>
    <xf numFmtId="175" fontId="42" fillId="2" borderId="55" xfId="4" applyNumberFormat="1" applyFont="1" applyFill="1" applyBorder="1"/>
    <xf numFmtId="175" fontId="42" fillId="2" borderId="54" xfId="4" applyNumberFormat="1" applyFont="1" applyFill="1" applyBorder="1"/>
    <xf numFmtId="175" fontId="42" fillId="2" borderId="56" xfId="4" applyNumberFormat="1" applyFont="1" applyFill="1" applyBorder="1"/>
    <xf numFmtId="0" fontId="45" fillId="2" borderId="1" xfId="4" applyFont="1" applyFill="1" applyBorder="1" applyAlignment="1">
      <alignment horizontal="center"/>
    </xf>
    <xf numFmtId="175" fontId="45" fillId="2" borderId="1" xfId="4" applyNumberFormat="1" applyFont="1" applyFill="1" applyBorder="1"/>
    <xf numFmtId="0" fontId="46" fillId="0" borderId="0" xfId="4" applyFont="1" applyFill="1"/>
    <xf numFmtId="0" fontId="47" fillId="0" borderId="0" xfId="0" applyFont="1" applyFill="1"/>
    <xf numFmtId="0" fontId="42" fillId="2" borderId="57" xfId="4" applyFont="1" applyFill="1" applyBorder="1" applyAlignment="1">
      <alignment horizontal="center"/>
    </xf>
    <xf numFmtId="10" fontId="42" fillId="2" borderId="57" xfId="5" applyNumberFormat="1" applyFont="1" applyFill="1" applyBorder="1" applyAlignment="1">
      <alignment horizontal="center"/>
    </xf>
    <xf numFmtId="174" fontId="42" fillId="2" borderId="57" xfId="4" applyNumberFormat="1" applyFont="1" applyFill="1" applyBorder="1" applyAlignment="1">
      <alignment horizontal="center"/>
    </xf>
    <xf numFmtId="0" fontId="42" fillId="2" borderId="47" xfId="4" applyFont="1" applyFill="1" applyBorder="1" applyAlignment="1">
      <alignment horizontal="center"/>
    </xf>
    <xf numFmtId="0" fontId="42" fillId="2" borderId="51" xfId="4" applyFont="1" applyFill="1" applyBorder="1" applyAlignment="1">
      <alignment horizontal="center"/>
    </xf>
    <xf numFmtId="0" fontId="42" fillId="2" borderId="56" xfId="4" applyFont="1" applyFill="1" applyBorder="1" applyAlignment="1">
      <alignment horizontal="center"/>
    </xf>
    <xf numFmtId="164" fontId="45" fillId="2" borderId="2" xfId="6" applyFont="1" applyFill="1" applyBorder="1" applyAlignment="1">
      <alignment horizontal="center"/>
    </xf>
    <xf numFmtId="0" fontId="42" fillId="2" borderId="1" xfId="4" applyFont="1" applyFill="1" applyBorder="1" applyAlignment="1">
      <alignment horizontal="center"/>
    </xf>
    <xf numFmtId="10" fontId="42" fillId="2" borderId="1" xfId="5" applyNumberFormat="1" applyFont="1" applyFill="1" applyBorder="1" applyAlignment="1">
      <alignment horizontal="center"/>
    </xf>
    <xf numFmtId="174" fontId="42" fillId="2" borderId="0" xfId="4" applyNumberFormat="1" applyFont="1" applyFill="1" applyBorder="1" applyAlignment="1">
      <alignment horizontal="center"/>
    </xf>
    <xf numFmtId="0" fontId="42" fillId="2" borderId="23" xfId="4" applyFont="1" applyFill="1" applyBorder="1" applyAlignment="1">
      <alignment horizontal="center"/>
    </xf>
    <xf numFmtId="175" fontId="42" fillId="2" borderId="0" xfId="4" applyNumberFormat="1" applyFont="1" applyFill="1" applyBorder="1"/>
    <xf numFmtId="175" fontId="42" fillId="2" borderId="34" xfId="4" applyNumberFormat="1" applyFont="1" applyFill="1" applyBorder="1"/>
    <xf numFmtId="175" fontId="42" fillId="2" borderId="23" xfId="4" applyNumberFormat="1" applyFont="1" applyFill="1" applyBorder="1"/>
    <xf numFmtId="175" fontId="42" fillId="2" borderId="38" xfId="4" applyNumberFormat="1" applyFont="1" applyFill="1" applyBorder="1"/>
    <xf numFmtId="0" fontId="42" fillId="2" borderId="37" xfId="4" applyFont="1" applyFill="1" applyBorder="1" applyAlignment="1">
      <alignment horizontal="center"/>
    </xf>
    <xf numFmtId="175" fontId="42" fillId="2" borderId="39" xfId="4" applyNumberFormat="1" applyFont="1" applyFill="1" applyBorder="1"/>
    <xf numFmtId="43" fontId="42" fillId="2" borderId="44" xfId="1" applyFont="1" applyFill="1" applyBorder="1" applyAlignment="1">
      <alignment horizontal="right"/>
    </xf>
    <xf numFmtId="164" fontId="45" fillId="2" borderId="28" xfId="6" applyFont="1" applyFill="1" applyBorder="1" applyAlignment="1">
      <alignment horizontal="center"/>
    </xf>
    <xf numFmtId="173" fontId="42" fillId="2" borderId="1" xfId="4" applyNumberFormat="1" applyFont="1" applyFill="1" applyBorder="1"/>
    <xf numFmtId="10" fontId="42" fillId="2" borderId="20" xfId="5" applyNumberFormat="1" applyFont="1" applyFill="1" applyBorder="1" applyAlignment="1">
      <alignment horizontal="center"/>
    </xf>
    <xf numFmtId="174" fontId="42" fillId="2" borderId="1" xfId="4" applyNumberFormat="1" applyFont="1" applyFill="1" applyBorder="1" applyAlignment="1">
      <alignment horizontal="center"/>
    </xf>
    <xf numFmtId="174" fontId="42" fillId="2" borderId="28" xfId="4" applyNumberFormat="1" applyFont="1" applyFill="1" applyBorder="1" applyAlignment="1">
      <alignment horizontal="center"/>
    </xf>
    <xf numFmtId="175" fontId="42" fillId="2" borderId="1" xfId="4" applyNumberFormat="1" applyFont="1" applyFill="1" applyBorder="1"/>
    <xf numFmtId="175" fontId="42" fillId="2" borderId="13" xfId="4" applyNumberFormat="1" applyFont="1" applyFill="1" applyBorder="1" applyAlignment="1">
      <alignment horizontal="right" vertical="center"/>
    </xf>
    <xf numFmtId="175" fontId="42" fillId="2" borderId="13" xfId="4" applyNumberFormat="1" applyFont="1" applyFill="1" applyBorder="1"/>
    <xf numFmtId="43" fontId="43" fillId="0" borderId="0" xfId="1" applyFont="1"/>
    <xf numFmtId="0" fontId="45" fillId="2" borderId="34" xfId="4" applyFont="1" applyFill="1" applyBorder="1" applyAlignment="1">
      <alignment horizontal="center"/>
    </xf>
    <xf numFmtId="4" fontId="43" fillId="0" borderId="0" xfId="0" applyNumberFormat="1" applyFont="1"/>
    <xf numFmtId="165" fontId="42" fillId="2" borderId="1" xfId="1" applyNumberFormat="1" applyFont="1" applyFill="1" applyBorder="1" applyAlignment="1">
      <alignment horizontal="center" vertical="center"/>
    </xf>
    <xf numFmtId="0" fontId="45" fillId="2" borderId="2" xfId="4" applyFont="1" applyFill="1" applyBorder="1" applyAlignment="1">
      <alignment horizontal="center"/>
    </xf>
    <xf numFmtId="174" fontId="42" fillId="2" borderId="9" xfId="4" applyNumberFormat="1" applyFont="1" applyFill="1" applyBorder="1" applyAlignment="1">
      <alignment horizontal="center"/>
    </xf>
    <xf numFmtId="174" fontId="42" fillId="2" borderId="34" xfId="4" applyNumberFormat="1" applyFont="1" applyFill="1" applyBorder="1" applyAlignment="1">
      <alignment horizontal="center"/>
    </xf>
    <xf numFmtId="10" fontId="42" fillId="2" borderId="13" xfId="5" applyNumberFormat="1" applyFont="1" applyFill="1" applyBorder="1" applyAlignment="1">
      <alignment horizontal="center"/>
    </xf>
    <xf numFmtId="175" fontId="42" fillId="2" borderId="19" xfId="4" applyNumberFormat="1" applyFont="1" applyFill="1" applyBorder="1"/>
    <xf numFmtId="43" fontId="43" fillId="0" borderId="0" xfId="0" applyNumberFormat="1" applyFont="1"/>
    <xf numFmtId="0" fontId="49" fillId="0" borderId="0" xfId="0" applyFont="1"/>
    <xf numFmtId="43" fontId="50" fillId="0" borderId="0" xfId="1" applyFont="1"/>
    <xf numFmtId="168" fontId="13" fillId="0" borderId="6" xfId="6" applyNumberFormat="1" applyFont="1" applyBorder="1" applyAlignment="1">
      <alignment horizontal="center" vertical="center"/>
    </xf>
    <xf numFmtId="168" fontId="13" fillId="0" borderId="39" xfId="6" applyNumberFormat="1" applyFont="1" applyBorder="1" applyAlignment="1">
      <alignment horizontal="center" vertical="center"/>
    </xf>
    <xf numFmtId="168" fontId="13" fillId="0" borderId="37" xfId="6" applyNumberFormat="1" applyFont="1" applyBorder="1" applyAlignment="1">
      <alignment horizontal="center" vertical="center"/>
    </xf>
    <xf numFmtId="168" fontId="13" fillId="6" borderId="37" xfId="6" applyNumberFormat="1" applyFont="1" applyFill="1" applyBorder="1" applyAlignment="1">
      <alignment horizontal="center" vertical="center"/>
    </xf>
    <xf numFmtId="168" fontId="13" fillId="6" borderId="39" xfId="6"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11" xfId="0" applyFont="1" applyFill="1" applyBorder="1" applyAlignment="1">
      <alignment horizontal="left" vertical="center"/>
    </xf>
    <xf numFmtId="168" fontId="13" fillId="0" borderId="4" xfId="6" applyNumberFormat="1" applyFont="1" applyFill="1" applyBorder="1" applyAlignment="1">
      <alignment horizontal="center" vertical="center"/>
    </xf>
    <xf numFmtId="164" fontId="13" fillId="0" borderId="15" xfId="6" applyFont="1" applyFill="1" applyBorder="1" applyAlignment="1">
      <alignment horizontal="right" vertical="center"/>
    </xf>
    <xf numFmtId="168" fontId="13" fillId="0" borderId="37" xfId="6" applyNumberFormat="1" applyFont="1" applyFill="1" applyBorder="1" applyAlignment="1">
      <alignment horizontal="center" vertical="center"/>
    </xf>
    <xf numFmtId="0" fontId="13" fillId="0" borderId="0" xfId="0" applyFont="1" applyBorder="1" applyAlignment="1"/>
    <xf numFmtId="164" fontId="26" fillId="0" borderId="0" xfId="6" applyFont="1" applyAlignment="1">
      <alignment horizontal="center" vertical="center"/>
    </xf>
    <xf numFmtId="170" fontId="27" fillId="0" borderId="0" xfId="0" applyNumberFormat="1" applyFont="1" applyAlignment="1">
      <alignment horizontal="center"/>
    </xf>
    <xf numFmtId="0" fontId="27" fillId="0" borderId="0" xfId="0" applyFont="1" applyAlignment="1">
      <alignment horizontal="center"/>
    </xf>
    <xf numFmtId="165" fontId="9" fillId="0" borderId="2" xfId="1" applyNumberFormat="1" applyFont="1" applyBorder="1" applyAlignment="1">
      <alignment vertical="center" readingOrder="1"/>
    </xf>
    <xf numFmtId="0" fontId="9" fillId="0" borderId="20" xfId="0" applyFont="1" applyBorder="1" applyAlignment="1">
      <alignment horizontal="center" vertical="center" wrapText="1"/>
    </xf>
    <xf numFmtId="165" fontId="13" fillId="2" borderId="1" xfId="1" applyNumberFormat="1" applyFont="1" applyFill="1" applyBorder="1" applyAlignment="1">
      <alignment vertical="center" readingOrder="1"/>
    </xf>
    <xf numFmtId="2" fontId="13" fillId="0" borderId="37" xfId="0" applyNumberFormat="1" applyFont="1" applyBorder="1" applyAlignment="1">
      <alignment horizontal="center" vertical="center" wrapText="1"/>
    </xf>
    <xf numFmtId="167" fontId="13" fillId="2" borderId="37" xfId="1" applyNumberFormat="1" applyFont="1" applyFill="1" applyBorder="1" applyAlignment="1">
      <alignment vertical="center" readingOrder="1"/>
    </xf>
    <xf numFmtId="10" fontId="51" fillId="0" borderId="0" xfId="2" applyNumberFormat="1" applyFont="1" applyAlignment="1"/>
    <xf numFmtId="165" fontId="13" fillId="2" borderId="61" xfId="1" applyNumberFormat="1" applyFont="1" applyFill="1" applyBorder="1" applyAlignment="1">
      <alignment horizontal="center" vertical="center" wrapText="1"/>
    </xf>
    <xf numFmtId="165" fontId="13" fillId="2" borderId="61" xfId="1" applyNumberFormat="1" applyFont="1" applyFill="1" applyBorder="1" applyAlignment="1">
      <alignment horizontal="center" vertical="center"/>
    </xf>
    <xf numFmtId="165" fontId="9" fillId="7" borderId="61" xfId="1" applyNumberFormat="1" applyFont="1" applyFill="1" applyBorder="1" applyAlignment="1">
      <alignment horizontal="center" vertical="center"/>
    </xf>
    <xf numFmtId="0" fontId="28" fillId="2" borderId="0" xfId="0" applyFont="1" applyFill="1" applyBorder="1" applyAlignment="1">
      <alignment vertical="center" wrapText="1"/>
    </xf>
    <xf numFmtId="0" fontId="26" fillId="0" borderId="0" xfId="0" applyFont="1" applyAlignment="1">
      <alignment horizontal="left" vertical="center" wrapText="1"/>
    </xf>
    <xf numFmtId="0" fontId="13" fillId="0" borderId="9" xfId="0" applyFont="1" applyBorder="1" applyAlignment="1">
      <alignment vertical="center"/>
    </xf>
    <xf numFmtId="0" fontId="13" fillId="0" borderId="13" xfId="0" applyFont="1" applyBorder="1" applyAlignment="1">
      <alignment vertical="center"/>
    </xf>
    <xf numFmtId="165" fontId="13" fillId="2" borderId="12" xfId="1" applyNumberFormat="1" applyFont="1" applyFill="1" applyBorder="1" applyAlignment="1">
      <alignment vertical="center" readingOrder="1"/>
    </xf>
    <xf numFmtId="165" fontId="34" fillId="2" borderId="8" xfId="1" applyNumberFormat="1" applyFont="1" applyFill="1" applyBorder="1" applyAlignment="1">
      <alignment vertical="center" wrapText="1" readingOrder="1"/>
    </xf>
    <xf numFmtId="0" fontId="9" fillId="11" borderId="20" xfId="0" applyFont="1" applyFill="1" applyBorder="1" applyAlignment="1">
      <alignment horizontal="center" vertical="center" wrapText="1"/>
    </xf>
    <xf numFmtId="0" fontId="9" fillId="11" borderId="27" xfId="0" applyFont="1" applyFill="1" applyBorder="1" applyAlignment="1">
      <alignment horizontal="center" vertical="center" wrapText="1"/>
    </xf>
    <xf numFmtId="164" fontId="13" fillId="0" borderId="40" xfId="6" applyNumberFormat="1" applyFont="1" applyBorder="1" applyAlignment="1">
      <alignment horizontal="right" vertical="center"/>
    </xf>
    <xf numFmtId="164" fontId="13" fillId="0" borderId="39" xfId="6" applyNumberFormat="1" applyFont="1" applyBorder="1" applyAlignment="1">
      <alignment horizontal="center" vertical="center"/>
    </xf>
    <xf numFmtId="168" fontId="13" fillId="0" borderId="36" xfId="6" applyNumberFormat="1" applyFont="1" applyBorder="1" applyAlignment="1">
      <alignment horizontal="center" vertical="center"/>
    </xf>
    <xf numFmtId="164" fontId="13" fillId="0" borderId="0" xfId="6" applyNumberFormat="1" applyFont="1" applyBorder="1" applyAlignment="1">
      <alignment horizontal="center" vertical="center"/>
    </xf>
    <xf numFmtId="164" fontId="13" fillId="0" borderId="11" xfId="6" applyNumberFormat="1" applyFont="1" applyFill="1" applyBorder="1" applyAlignment="1">
      <alignment horizontal="center" vertical="center"/>
    </xf>
    <xf numFmtId="164" fontId="13" fillId="6" borderId="11" xfId="6" applyNumberFormat="1" applyFont="1" applyFill="1" applyBorder="1" applyAlignment="1">
      <alignment horizontal="center" vertical="center"/>
    </xf>
    <xf numFmtId="164" fontId="8" fillId="0" borderId="0" xfId="6" applyFont="1" applyBorder="1" applyAlignment="1">
      <alignment horizontal="center" vertical="center"/>
    </xf>
    <xf numFmtId="176" fontId="13" fillId="0" borderId="0" xfId="6" applyNumberFormat="1" applyFont="1" applyFill="1" applyBorder="1" applyAlignment="1">
      <alignment horizontal="center" vertical="center"/>
    </xf>
    <xf numFmtId="168" fontId="13" fillId="0" borderId="0" xfId="6" applyNumberFormat="1" applyFont="1" applyBorder="1" applyAlignment="1">
      <alignment horizontal="center" vertical="center"/>
    </xf>
    <xf numFmtId="164" fontId="9" fillId="10" borderId="2" xfId="6" applyFont="1" applyFill="1" applyBorder="1" applyAlignment="1">
      <alignment horizontal="right" vertical="center"/>
    </xf>
    <xf numFmtId="169" fontId="9" fillId="10" borderId="1" xfId="6" applyNumberFormat="1" applyFont="1" applyFill="1" applyBorder="1" applyAlignment="1">
      <alignment horizontal="center" vertical="center"/>
    </xf>
    <xf numFmtId="169" fontId="9" fillId="11" borderId="1" xfId="6" applyNumberFormat="1" applyFont="1" applyFill="1" applyBorder="1" applyAlignment="1">
      <alignment horizontal="center" vertical="center"/>
    </xf>
    <xf numFmtId="169" fontId="9" fillId="0" borderId="13" xfId="6" applyNumberFormat="1" applyFont="1" applyFill="1" applyBorder="1" applyAlignment="1">
      <alignment horizontal="center" vertical="center"/>
    </xf>
    <xf numFmtId="164" fontId="9" fillId="11" borderId="9" xfId="6" applyNumberFormat="1" applyFont="1" applyFill="1" applyBorder="1" applyAlignment="1">
      <alignment horizontal="center" vertical="center"/>
    </xf>
    <xf numFmtId="164" fontId="9" fillId="0" borderId="1" xfId="6" applyNumberFormat="1" applyFont="1" applyFill="1" applyBorder="1" applyAlignment="1">
      <alignment horizontal="right" vertical="center"/>
    </xf>
    <xf numFmtId="164" fontId="8" fillId="0" borderId="0" xfId="6" applyFont="1" applyAlignment="1">
      <alignment horizontal="center" vertical="center"/>
    </xf>
    <xf numFmtId="43" fontId="8" fillId="0" borderId="0" xfId="0" applyNumberFormat="1" applyFont="1" applyAlignment="1">
      <alignment vertical="center" wrapText="1"/>
    </xf>
    <xf numFmtId="0" fontId="28" fillId="0" borderId="0" xfId="0" applyFont="1" applyAlignment="1">
      <alignment vertical="center"/>
    </xf>
    <xf numFmtId="0" fontId="40" fillId="0" borderId="0" xfId="0" applyFont="1" applyAlignment="1">
      <alignment vertical="center"/>
    </xf>
    <xf numFmtId="0" fontId="28" fillId="0" borderId="0" xfId="0" applyFont="1"/>
    <xf numFmtId="0" fontId="28" fillId="0" borderId="0" xfId="0" applyFont="1" applyAlignment="1">
      <alignment horizontal="center"/>
    </xf>
    <xf numFmtId="171" fontId="28" fillId="0" borderId="0" xfId="6" applyNumberFormat="1" applyFont="1" applyAlignment="1">
      <alignment vertical="center"/>
    </xf>
    <xf numFmtId="164" fontId="52" fillId="0" borderId="0" xfId="6" applyFont="1" applyAlignment="1">
      <alignment horizontal="center" vertical="center"/>
    </xf>
    <xf numFmtId="43" fontId="53" fillId="0" borderId="0" xfId="0" applyNumberFormat="1" applyFont="1" applyAlignment="1"/>
    <xf numFmtId="165" fontId="30" fillId="0" borderId="0" xfId="0" applyNumberFormat="1" applyFont="1" applyAlignment="1"/>
    <xf numFmtId="164" fontId="43" fillId="0" borderId="0" xfId="0" applyNumberFormat="1" applyFont="1"/>
    <xf numFmtId="14" fontId="13" fillId="0" borderId="61" xfId="0" applyNumberFormat="1" applyFont="1" applyBorder="1" applyAlignment="1">
      <alignment horizontal="center" vertical="center"/>
    </xf>
    <xf numFmtId="14" fontId="13" fillId="0" borderId="65" xfId="0" applyNumberFormat="1" applyFont="1" applyBorder="1" applyAlignment="1">
      <alignment horizontal="center" vertical="center"/>
    </xf>
    <xf numFmtId="0" fontId="13" fillId="0" borderId="18" xfId="0" applyFont="1" applyBorder="1" applyAlignment="1">
      <alignment vertical="center"/>
    </xf>
    <xf numFmtId="0" fontId="35" fillId="2" borderId="34" xfId="0" applyFont="1" applyFill="1" applyBorder="1" applyAlignment="1">
      <alignment horizontal="center" vertical="center" wrapText="1" readingOrder="1"/>
    </xf>
    <xf numFmtId="0" fontId="35" fillId="2" borderId="0" xfId="0" applyFont="1" applyFill="1" applyBorder="1" applyAlignment="1">
      <alignment horizontal="center" vertical="center" wrapText="1" readingOrder="1"/>
    </xf>
    <xf numFmtId="0" fontId="35" fillId="2" borderId="38" xfId="0" applyFont="1" applyFill="1" applyBorder="1" applyAlignment="1">
      <alignment horizontal="center" vertical="center" wrapText="1" readingOrder="1"/>
    </xf>
    <xf numFmtId="165" fontId="13" fillId="2" borderId="18" xfId="1" applyNumberFormat="1" applyFont="1" applyFill="1" applyBorder="1" applyAlignment="1">
      <alignment vertical="center" readingOrder="1"/>
    </xf>
    <xf numFmtId="165" fontId="34" fillId="2" borderId="6" xfId="1" applyNumberFormat="1" applyFont="1" applyFill="1" applyBorder="1" applyAlignment="1">
      <alignment vertical="center" wrapText="1" readingOrder="1"/>
    </xf>
    <xf numFmtId="167" fontId="13" fillId="2" borderId="15" xfId="1" applyNumberFormat="1" applyFont="1" applyFill="1" applyBorder="1" applyAlignment="1">
      <alignment vertical="center" readingOrder="1"/>
    </xf>
    <xf numFmtId="165" fontId="34" fillId="2" borderId="2" xfId="1" applyNumberFormat="1" applyFont="1" applyFill="1" applyBorder="1" applyAlignment="1">
      <alignment vertical="center" wrapText="1" readingOrder="1"/>
    </xf>
    <xf numFmtId="165" fontId="34" fillId="2" borderId="1" xfId="1" applyNumberFormat="1" applyFont="1" applyFill="1" applyBorder="1" applyAlignment="1">
      <alignment vertical="center" wrapText="1" readingOrder="1"/>
    </xf>
    <xf numFmtId="0" fontId="35" fillId="2" borderId="24" xfId="0" applyFont="1" applyFill="1" applyBorder="1" applyAlignment="1">
      <alignment horizontal="center" vertical="center" wrapText="1" readingOrder="1"/>
    </xf>
    <xf numFmtId="165" fontId="34" fillId="2" borderId="23" xfId="1" applyNumberFormat="1" applyFont="1" applyFill="1" applyBorder="1" applyAlignment="1">
      <alignment vertical="center" wrapText="1" readingOrder="1"/>
    </xf>
    <xf numFmtId="0" fontId="35" fillId="2" borderId="19" xfId="0" applyFont="1" applyFill="1" applyBorder="1" applyAlignment="1">
      <alignment horizontal="center" vertical="center" wrapText="1" readingOrder="1"/>
    </xf>
    <xf numFmtId="0" fontId="9" fillId="2" borderId="19" xfId="0" applyFont="1" applyFill="1" applyBorder="1" applyAlignment="1">
      <alignment horizontal="center" vertical="center" wrapText="1"/>
    </xf>
    <xf numFmtId="0" fontId="34" fillId="2" borderId="1" xfId="0" applyFont="1" applyFill="1" applyBorder="1" applyAlignment="1">
      <alignment horizontal="center" vertical="center" wrapText="1" readingOrder="1"/>
    </xf>
    <xf numFmtId="167" fontId="8" fillId="0" borderId="0" xfId="0" applyNumberFormat="1" applyFont="1" applyAlignment="1"/>
    <xf numFmtId="0" fontId="20" fillId="0" borderId="0" xfId="0" applyFont="1" applyBorder="1" applyAlignment="1">
      <alignment horizontal="center" vertical="center"/>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43" fillId="2" borderId="0" xfId="0" applyFont="1" applyFill="1"/>
    <xf numFmtId="43" fontId="51" fillId="0" borderId="0" xfId="1" applyFont="1" applyAlignment="1"/>
    <xf numFmtId="14" fontId="13" fillId="0" borderId="64" xfId="0" applyNumberFormat="1" applyFont="1" applyBorder="1" applyAlignment="1">
      <alignment horizontal="center" vertical="center"/>
    </xf>
    <xf numFmtId="0" fontId="13" fillId="0" borderId="6" xfId="0" applyFont="1" applyBorder="1" applyAlignment="1">
      <alignment horizontal="center" vertical="center"/>
    </xf>
    <xf numFmtId="0" fontId="42" fillId="2" borderId="0" xfId="4" applyFont="1" applyFill="1"/>
    <xf numFmtId="175" fontId="45" fillId="2" borderId="9" xfId="4" applyNumberFormat="1" applyFont="1" applyFill="1" applyBorder="1"/>
    <xf numFmtId="175" fontId="45" fillId="2" borderId="2" xfId="4" applyNumberFormat="1" applyFont="1" applyFill="1" applyBorder="1"/>
    <xf numFmtId="175" fontId="45" fillId="2" borderId="13" xfId="4" applyNumberFormat="1" applyFont="1" applyFill="1" applyBorder="1"/>
    <xf numFmtId="43" fontId="46" fillId="2" borderId="0" xfId="1" applyFont="1" applyFill="1"/>
    <xf numFmtId="0" fontId="46" fillId="2" borderId="0" xfId="4" applyFont="1" applyFill="1"/>
    <xf numFmtId="164" fontId="45" fillId="2" borderId="9" xfId="6" applyFont="1" applyFill="1" applyBorder="1" applyAlignment="1">
      <alignment horizontal="center"/>
    </xf>
    <xf numFmtId="43" fontId="46" fillId="2" borderId="0" xfId="4" applyNumberFormat="1" applyFont="1" applyFill="1"/>
    <xf numFmtId="175" fontId="45" fillId="2" borderId="1" xfId="4" applyNumberFormat="1" applyFont="1" applyFill="1" applyBorder="1" applyAlignment="1">
      <alignment horizontal="right"/>
    </xf>
    <xf numFmtId="164" fontId="45" fillId="2" borderId="27" xfId="6" applyFont="1" applyFill="1" applyBorder="1" applyAlignment="1">
      <alignment horizontal="center"/>
    </xf>
    <xf numFmtId="175" fontId="45" fillId="2" borderId="20" xfId="4" applyNumberFormat="1" applyFont="1" applyFill="1" applyBorder="1" applyAlignment="1">
      <alignment horizontal="right"/>
    </xf>
    <xf numFmtId="175" fontId="45" fillId="2" borderId="21" xfId="4" applyNumberFormat="1" applyFont="1" applyFill="1" applyBorder="1"/>
    <xf numFmtId="43" fontId="43" fillId="2" borderId="0" xfId="1" applyFont="1" applyFill="1"/>
    <xf numFmtId="4" fontId="43" fillId="2" borderId="0" xfId="0" applyNumberFormat="1" applyFont="1" applyFill="1"/>
    <xf numFmtId="164" fontId="44" fillId="2" borderId="18" xfId="6" applyFont="1" applyFill="1" applyBorder="1" applyAlignment="1">
      <alignment horizontal="center" vertical="center"/>
    </xf>
    <xf numFmtId="43" fontId="43" fillId="2" borderId="0" xfId="1" applyFont="1" applyFill="1" applyAlignment="1">
      <alignment vertical="center"/>
    </xf>
    <xf numFmtId="0" fontId="4" fillId="2" borderId="0" xfId="0" applyFont="1" applyFill="1" applyAlignment="1">
      <alignment horizontal="left"/>
    </xf>
    <xf numFmtId="43" fontId="4" fillId="2" borderId="0" xfId="1" applyNumberFormat="1" applyFont="1" applyFill="1" applyAlignment="1">
      <alignment horizontal="left"/>
    </xf>
    <xf numFmtId="0" fontId="4" fillId="2" borderId="0" xfId="0" applyFont="1" applyFill="1" applyAlignment="1"/>
    <xf numFmtId="0" fontId="8" fillId="2" borderId="0" xfId="0" applyFont="1" applyFill="1" applyAlignment="1"/>
    <xf numFmtId="175" fontId="42" fillId="2" borderId="1" xfId="4" applyNumberFormat="1" applyFont="1" applyFill="1" applyBorder="1" applyAlignment="1">
      <alignment vertical="center"/>
    </xf>
    <xf numFmtId="10" fontId="42" fillId="2" borderId="13" xfId="5" applyNumberFormat="1" applyFont="1" applyFill="1" applyBorder="1" applyAlignment="1">
      <alignment horizontal="center" vertical="center"/>
    </xf>
    <xf numFmtId="174" fontId="42" fillId="2" borderId="1" xfId="4" applyNumberFormat="1" applyFont="1" applyFill="1" applyBorder="1" applyAlignment="1">
      <alignment horizontal="center" vertical="center"/>
    </xf>
    <xf numFmtId="174" fontId="42" fillId="2" borderId="9" xfId="4" applyNumberFormat="1" applyFont="1" applyFill="1" applyBorder="1" applyAlignment="1">
      <alignment horizontal="center" vertical="center"/>
    </xf>
    <xf numFmtId="175" fontId="42" fillId="2" borderId="19" xfId="4" applyNumberFormat="1" applyFont="1" applyFill="1" applyBorder="1" applyAlignment="1">
      <alignment vertical="center"/>
    </xf>
    <xf numFmtId="175" fontId="42" fillId="2" borderId="13" xfId="4" applyNumberFormat="1" applyFont="1" applyFill="1" applyBorder="1" applyAlignment="1">
      <alignment vertical="center"/>
    </xf>
    <xf numFmtId="164" fontId="44" fillId="6" borderId="22" xfId="6" applyFont="1" applyFill="1" applyBorder="1" applyAlignment="1">
      <alignment horizontal="center" vertical="center"/>
    </xf>
    <xf numFmtId="175" fontId="44" fillId="6" borderId="24" xfId="4" applyNumberFormat="1" applyFont="1" applyFill="1" applyBorder="1" applyAlignment="1">
      <alignment vertical="center"/>
    </xf>
    <xf numFmtId="175" fontId="44" fillId="6" borderId="19" xfId="4" applyNumberFormat="1" applyFont="1" applyFill="1" applyBorder="1" applyAlignment="1">
      <alignment horizontal="right" vertical="center"/>
    </xf>
    <xf numFmtId="175" fontId="42" fillId="6" borderId="1" xfId="4" applyNumberFormat="1" applyFont="1" applyFill="1" applyBorder="1" applyAlignment="1">
      <alignment vertical="center"/>
    </xf>
    <xf numFmtId="165" fontId="10" fillId="0" borderId="18" xfId="1" applyNumberFormat="1" applyFont="1" applyBorder="1" applyAlignment="1">
      <alignment vertical="center" readingOrder="1"/>
    </xf>
    <xf numFmtId="0" fontId="13" fillId="0" borderId="22" xfId="0" applyFont="1" applyBorder="1" applyAlignment="1">
      <alignment horizontal="center" vertical="center" wrapText="1"/>
    </xf>
    <xf numFmtId="167" fontId="13" fillId="2" borderId="18" xfId="1" applyNumberFormat="1" applyFont="1" applyFill="1" applyBorder="1" applyAlignment="1">
      <alignment horizontal="center" vertical="center"/>
    </xf>
    <xf numFmtId="0" fontId="13" fillId="2" borderId="22" xfId="1" applyNumberFormat="1" applyFont="1" applyFill="1" applyBorder="1" applyAlignment="1">
      <alignment horizontal="center" vertical="center"/>
    </xf>
    <xf numFmtId="9" fontId="13" fillId="0" borderId="22" xfId="2" applyFont="1" applyBorder="1" applyAlignment="1">
      <alignment horizontal="center" vertical="center" wrapText="1"/>
    </xf>
    <xf numFmtId="165" fontId="34" fillId="2" borderId="24" xfId="1" applyNumberFormat="1" applyFont="1" applyFill="1" applyBorder="1" applyAlignment="1">
      <alignment horizontal="center" vertical="center" wrapText="1" readingOrder="1"/>
    </xf>
    <xf numFmtId="0" fontId="3" fillId="2" borderId="35" xfId="0" applyFont="1" applyFill="1" applyBorder="1" applyAlignment="1">
      <alignment horizontal="center" vertical="center" wrapText="1" readingOrder="1"/>
    </xf>
    <xf numFmtId="0" fontId="13" fillId="2" borderId="19"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0" borderId="11" xfId="0" applyFont="1" applyBorder="1" applyAlignment="1">
      <alignment horizontal="center" vertical="center" wrapText="1"/>
    </xf>
    <xf numFmtId="167" fontId="13" fillId="2" borderId="4" xfId="1" applyNumberFormat="1" applyFont="1" applyFill="1" applyBorder="1" applyAlignment="1">
      <alignment horizontal="center" vertical="center"/>
    </xf>
    <xf numFmtId="0" fontId="13" fillId="2" borderId="4" xfId="1" applyNumberFormat="1" applyFont="1" applyFill="1" applyBorder="1" applyAlignment="1">
      <alignment horizontal="center" vertical="center"/>
    </xf>
    <xf numFmtId="9" fontId="13" fillId="0" borderId="7" xfId="2" applyFont="1" applyBorder="1" applyAlignment="1">
      <alignment horizontal="center" vertical="center" wrapText="1"/>
    </xf>
    <xf numFmtId="165" fontId="13" fillId="2" borderId="7" xfId="1" applyNumberFormat="1" applyFont="1" applyFill="1" applyBorder="1" applyAlignment="1">
      <alignment vertical="center" readingOrder="1"/>
    </xf>
    <xf numFmtId="165" fontId="13" fillId="2" borderId="4" xfId="1" applyNumberFormat="1" applyFont="1" applyFill="1" applyBorder="1" applyAlignment="1">
      <alignment vertical="center" readingOrder="1"/>
    </xf>
    <xf numFmtId="165" fontId="3" fillId="2" borderId="7" xfId="1" applyNumberFormat="1" applyFont="1" applyFill="1" applyBorder="1" applyAlignment="1">
      <alignment vertical="center" wrapText="1" readingOrder="1"/>
    </xf>
    <xf numFmtId="165" fontId="13" fillId="2" borderId="8" xfId="1" applyNumberFormat="1" applyFont="1" applyFill="1" applyBorder="1" applyAlignment="1">
      <alignment vertical="center" readingOrder="1"/>
    </xf>
    <xf numFmtId="165" fontId="10" fillId="0" borderId="24" xfId="1" applyNumberFormat="1" applyFont="1" applyBorder="1" applyAlignment="1">
      <alignment vertical="center" readingOrder="1"/>
    </xf>
    <xf numFmtId="165" fontId="34" fillId="12" borderId="7" xfId="1" applyNumberFormat="1" applyFont="1" applyFill="1" applyBorder="1" applyAlignment="1">
      <alignment vertical="center" wrapText="1" readingOrder="1"/>
    </xf>
    <xf numFmtId="165" fontId="34" fillId="13" borderId="7" xfId="1" applyNumberFormat="1" applyFont="1" applyFill="1" applyBorder="1" applyAlignment="1">
      <alignment vertical="center" wrapText="1" readingOrder="1"/>
    </xf>
    <xf numFmtId="165" fontId="34" fillId="13" borderId="39" xfId="1" applyNumberFormat="1" applyFont="1" applyFill="1" applyBorder="1" applyAlignment="1">
      <alignment vertical="center" wrapText="1" readingOrder="1"/>
    </xf>
    <xf numFmtId="0" fontId="45" fillId="13" borderId="1" xfId="4" applyFont="1" applyFill="1" applyBorder="1" applyAlignment="1">
      <alignment horizontal="center"/>
    </xf>
    <xf numFmtId="175" fontId="44" fillId="13" borderId="1" xfId="4" applyNumberFormat="1" applyFont="1" applyFill="1" applyBorder="1" applyAlignment="1">
      <alignment vertical="center"/>
    </xf>
    <xf numFmtId="175" fontId="44" fillId="13" borderId="18" xfId="4" applyNumberFormat="1" applyFont="1" applyFill="1" applyBorder="1" applyAlignment="1">
      <alignment vertical="center"/>
    </xf>
    <xf numFmtId="175" fontId="44" fillId="13" borderId="1" xfId="4" applyNumberFormat="1" applyFont="1" applyFill="1" applyBorder="1" applyAlignment="1">
      <alignment horizontal="right" vertical="center"/>
    </xf>
    <xf numFmtId="175" fontId="44" fillId="13" borderId="24" xfId="4" applyNumberFormat="1" applyFont="1" applyFill="1" applyBorder="1" applyAlignment="1">
      <alignment vertical="center"/>
    </xf>
    <xf numFmtId="175" fontId="44" fillId="2" borderId="2" xfId="4" applyNumberFormat="1" applyFont="1" applyFill="1" applyBorder="1" applyAlignment="1">
      <alignment horizontal="center" vertical="center" wrapText="1"/>
    </xf>
    <xf numFmtId="0" fontId="45" fillId="2" borderId="2" xfId="4" applyFont="1" applyFill="1" applyBorder="1" applyAlignment="1">
      <alignment horizontal="center" vertical="center"/>
    </xf>
    <xf numFmtId="165" fontId="45" fillId="2" borderId="1" xfId="1" applyNumberFormat="1" applyFont="1" applyFill="1" applyBorder="1" applyAlignment="1">
      <alignment horizontal="center" vertical="center"/>
    </xf>
    <xf numFmtId="165" fontId="42" fillId="2" borderId="1" xfId="4" applyNumberFormat="1" applyFont="1" applyFill="1" applyBorder="1" applyAlignment="1">
      <alignment horizontal="center"/>
    </xf>
    <xf numFmtId="43" fontId="28" fillId="0" borderId="0" xfId="1" applyFont="1"/>
    <xf numFmtId="43" fontId="19" fillId="0" borderId="0" xfId="0" applyNumberFormat="1" applyFont="1"/>
    <xf numFmtId="0" fontId="26" fillId="0" borderId="0" xfId="0" applyFont="1" applyFill="1" applyAlignment="1">
      <alignment horizontal="right" vertical="center" wrapText="1"/>
    </xf>
    <xf numFmtId="0" fontId="0" fillId="0" borderId="0" xfId="0" applyFill="1" applyBorder="1"/>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0" xfId="0" applyFont="1" applyFill="1" applyBorder="1" applyAlignment="1">
      <alignment horizontal="center" vertical="center" wrapText="1"/>
    </xf>
    <xf numFmtId="14" fontId="13" fillId="0" borderId="40" xfId="0" applyNumberFormat="1" applyFont="1" applyFill="1" applyBorder="1" applyAlignment="1">
      <alignment horizontal="center" vertical="center"/>
    </xf>
    <xf numFmtId="14" fontId="13" fillId="0" borderId="37" xfId="0" applyNumberFormat="1" applyFont="1" applyFill="1" applyBorder="1" applyAlignment="1">
      <alignment horizontal="center" vertical="center"/>
    </xf>
    <xf numFmtId="43" fontId="13" fillId="0" borderId="37" xfId="1" applyFont="1" applyFill="1" applyBorder="1" applyAlignment="1">
      <alignment horizontal="center" vertical="center"/>
    </xf>
    <xf numFmtId="9" fontId="13" fillId="0" borderId="37" xfId="2" applyFont="1" applyFill="1" applyBorder="1" applyAlignment="1">
      <alignment horizontal="center" vertical="center"/>
    </xf>
    <xf numFmtId="1" fontId="13" fillId="0" borderId="40" xfId="2" applyNumberFormat="1" applyFont="1" applyFill="1" applyBorder="1" applyAlignment="1">
      <alignment horizontal="center" vertical="center"/>
    </xf>
    <xf numFmtId="43" fontId="13" fillId="0" borderId="40" xfId="1" applyFont="1" applyFill="1" applyBorder="1" applyAlignment="1">
      <alignment horizontal="center" vertical="center"/>
    </xf>
    <xf numFmtId="43" fontId="13" fillId="0" borderId="39" xfId="1" applyFont="1" applyFill="1" applyBorder="1" applyAlignment="1">
      <alignment horizontal="center" vertical="center"/>
    </xf>
    <xf numFmtId="43" fontId="13" fillId="0" borderId="6" xfId="1" applyFont="1" applyFill="1" applyBorder="1" applyAlignment="1">
      <alignment horizontal="center" vertical="center"/>
    </xf>
    <xf numFmtId="0" fontId="0" fillId="0" borderId="0" xfId="0" applyFill="1"/>
    <xf numFmtId="43" fontId="13" fillId="0" borderId="7" xfId="1" applyFont="1" applyFill="1" applyBorder="1" applyAlignment="1">
      <alignment horizontal="center" vertical="center"/>
    </xf>
    <xf numFmtId="14" fontId="13" fillId="0" borderId="15" xfId="0" applyNumberFormat="1" applyFont="1" applyFill="1" applyBorder="1" applyAlignment="1">
      <alignment horizontal="center" vertical="center"/>
    </xf>
    <xf numFmtId="14" fontId="13" fillId="0" borderId="7" xfId="0" applyNumberFormat="1" applyFont="1" applyFill="1" applyBorder="1" applyAlignment="1">
      <alignment horizontal="center" vertical="center"/>
    </xf>
    <xf numFmtId="9" fontId="13" fillId="0" borderId="7" xfId="2" applyFont="1" applyFill="1" applyBorder="1" applyAlignment="1">
      <alignment horizontal="center" vertical="center"/>
    </xf>
    <xf numFmtId="1" fontId="13" fillId="0" borderId="15" xfId="2" applyNumberFormat="1" applyFont="1" applyFill="1" applyBorder="1" applyAlignment="1">
      <alignment horizontal="center" vertical="center"/>
    </xf>
    <xf numFmtId="0" fontId="13" fillId="0" borderId="36" xfId="0" applyFont="1" applyFill="1" applyBorder="1" applyAlignment="1">
      <alignment horizontal="center" vertical="center"/>
    </xf>
    <xf numFmtId="14" fontId="13" fillId="0" borderId="42" xfId="0" applyNumberFormat="1" applyFont="1" applyFill="1" applyBorder="1" applyAlignment="1">
      <alignment horizontal="center" vertical="center"/>
    </xf>
    <xf numFmtId="14" fontId="13" fillId="0" borderId="36" xfId="0" applyNumberFormat="1" applyFont="1" applyFill="1" applyBorder="1" applyAlignment="1">
      <alignment horizontal="center" vertical="center"/>
    </xf>
    <xf numFmtId="43" fontId="13" fillId="0" borderId="36" xfId="1" applyFont="1" applyFill="1" applyBorder="1" applyAlignment="1">
      <alignment horizontal="center" vertical="center"/>
    </xf>
    <xf numFmtId="9" fontId="13" fillId="0" borderId="36" xfId="2" applyFont="1" applyFill="1" applyBorder="1" applyAlignment="1">
      <alignment horizontal="center" vertical="center"/>
    </xf>
    <xf numFmtId="1" fontId="13" fillId="0" borderId="42" xfId="2" applyNumberFormat="1" applyFont="1" applyFill="1" applyBorder="1" applyAlignment="1">
      <alignment horizontal="center" vertical="center"/>
    </xf>
    <xf numFmtId="43" fontId="13" fillId="0" borderId="38" xfId="1" applyFont="1" applyFill="1" applyBorder="1" applyAlignment="1">
      <alignment horizontal="center" vertical="center"/>
    </xf>
    <xf numFmtId="43" fontId="13" fillId="0" borderId="0" xfId="1" applyFont="1" applyFill="1" applyBorder="1" applyAlignment="1">
      <alignment horizontal="center" vertical="center"/>
    </xf>
    <xf numFmtId="43" fontId="13" fillId="0" borderId="8" xfId="1" applyFont="1" applyFill="1" applyBorder="1" applyAlignment="1">
      <alignment horizontal="center" vertical="center"/>
    </xf>
    <xf numFmtId="43" fontId="13" fillId="0" borderId="1" xfId="1" applyFont="1" applyFill="1" applyBorder="1" applyAlignment="1">
      <alignment horizontal="center" vertical="center"/>
    </xf>
    <xf numFmtId="43" fontId="9" fillId="0" borderId="2" xfId="1" applyFont="1" applyFill="1" applyBorder="1" applyAlignment="1">
      <alignment horizontal="center" vertical="center"/>
    </xf>
    <xf numFmtId="43" fontId="9" fillId="0" borderId="1" xfId="1" applyFont="1" applyFill="1" applyBorder="1" applyAlignment="1">
      <alignment horizontal="center" vertical="center"/>
    </xf>
    <xf numFmtId="164" fontId="9" fillId="0" borderId="19" xfId="0" applyNumberFormat="1" applyFont="1" applyFill="1" applyBorder="1" applyAlignment="1">
      <alignment horizontal="center" vertical="center"/>
    </xf>
    <xf numFmtId="0" fontId="8" fillId="0" borderId="0" xfId="0" applyFont="1" applyFill="1"/>
    <xf numFmtId="43" fontId="56" fillId="0" borderId="39" xfId="1" applyFont="1" applyFill="1" applyBorder="1" applyAlignment="1">
      <alignment horizontal="center" vertical="center"/>
    </xf>
    <xf numFmtId="164" fontId="9" fillId="0" borderId="1" xfId="0" applyNumberFormat="1" applyFont="1" applyFill="1" applyBorder="1" applyAlignment="1">
      <alignment horizontal="center" vertical="center"/>
    </xf>
    <xf numFmtId="43" fontId="8" fillId="0" borderId="0" xfId="1" applyFont="1"/>
    <xf numFmtId="165" fontId="45" fillId="10" borderId="1" xfId="1" applyNumberFormat="1" applyFont="1" applyFill="1" applyBorder="1" applyAlignment="1">
      <alignment horizontal="center" vertical="center"/>
    </xf>
    <xf numFmtId="175" fontId="42" fillId="10" borderId="1" xfId="4" applyNumberFormat="1" applyFont="1" applyFill="1" applyBorder="1" applyAlignment="1">
      <alignment vertical="center"/>
    </xf>
    <xf numFmtId="175" fontId="42" fillId="10" borderId="19" xfId="4" applyNumberFormat="1" applyFont="1" applyFill="1" applyBorder="1" applyAlignment="1">
      <alignment vertical="center"/>
    </xf>
    <xf numFmtId="175" fontId="42" fillId="10" borderId="13" xfId="4" applyNumberFormat="1" applyFont="1" applyFill="1" applyBorder="1" applyAlignment="1">
      <alignment vertical="center"/>
    </xf>
    <xf numFmtId="0" fontId="57" fillId="0" borderId="0" xfId="0" applyFont="1" applyAlignment="1">
      <alignment vertical="center"/>
    </xf>
    <xf numFmtId="0" fontId="58" fillId="2" borderId="1" xfId="0" applyFont="1" applyFill="1" applyBorder="1" applyAlignment="1">
      <alignment horizontal="center" vertical="center"/>
    </xf>
    <xf numFmtId="0" fontId="59" fillId="2" borderId="2" xfId="0" applyFont="1" applyFill="1" applyBorder="1" applyAlignment="1">
      <alignment horizontal="center" vertical="center"/>
    </xf>
    <xf numFmtId="0" fontId="60" fillId="2" borderId="2"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2" borderId="13" xfId="0" applyFont="1" applyFill="1" applyBorder="1" applyAlignment="1">
      <alignment horizontal="center" vertical="center"/>
    </xf>
    <xf numFmtId="0" fontId="59" fillId="0" borderId="13"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57" fillId="2" borderId="0" xfId="0" applyFont="1" applyFill="1" applyAlignment="1">
      <alignment vertical="center"/>
    </xf>
    <xf numFmtId="0" fontId="61" fillId="0" borderId="37" xfId="0" applyFont="1" applyBorder="1" applyAlignment="1">
      <alignment horizontal="center" vertical="center"/>
    </xf>
    <xf numFmtId="14" fontId="8" fillId="2" borderId="3" xfId="0" applyNumberFormat="1" applyFont="1" applyFill="1" applyBorder="1" applyAlignment="1">
      <alignment horizontal="center" vertical="center"/>
    </xf>
    <xf numFmtId="164" fontId="8" fillId="0" borderId="3" xfId="9" applyFont="1" applyBorder="1" applyAlignment="1">
      <alignment horizontal="center" vertical="center"/>
    </xf>
    <xf numFmtId="9" fontId="8" fillId="0" borderId="3" xfId="0" applyNumberFormat="1"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164" fontId="8" fillId="0" borderId="14" xfId="0" applyNumberFormat="1" applyFont="1" applyBorder="1" applyAlignment="1">
      <alignment horizontal="center" vertical="center"/>
    </xf>
    <xf numFmtId="0" fontId="61" fillId="0" borderId="7" xfId="0" applyFont="1" applyBorder="1" applyAlignment="1">
      <alignment horizontal="center" vertical="center"/>
    </xf>
    <xf numFmtId="14" fontId="8" fillId="2" borderId="4" xfId="0" applyNumberFormat="1" applyFont="1" applyFill="1" applyBorder="1" applyAlignment="1">
      <alignment horizontal="center" vertical="center"/>
    </xf>
    <xf numFmtId="164" fontId="8" fillId="0" borderId="4" xfId="9" applyFont="1" applyBorder="1" applyAlignment="1">
      <alignment horizontal="center"/>
    </xf>
    <xf numFmtId="9" fontId="8" fillId="0" borderId="4" xfId="0" applyNumberFormat="1"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164" fontId="8" fillId="0" borderId="15" xfId="0" applyNumberFormat="1" applyFont="1" applyBorder="1" applyAlignment="1">
      <alignment horizontal="center" vertical="center"/>
    </xf>
    <xf numFmtId="164" fontId="8" fillId="2" borderId="15" xfId="0" applyNumberFormat="1" applyFont="1" applyFill="1" applyBorder="1" applyAlignment="1">
      <alignment horizontal="center" vertical="center"/>
    </xf>
    <xf numFmtId="0" fontId="61" fillId="0" borderId="36" xfId="0" applyFont="1" applyBorder="1" applyAlignment="1">
      <alignment horizontal="center" vertical="center"/>
    </xf>
    <xf numFmtId="14" fontId="8" fillId="2" borderId="17" xfId="0" applyNumberFormat="1" applyFont="1" applyFill="1" applyBorder="1" applyAlignment="1">
      <alignment horizontal="center" vertical="center"/>
    </xf>
    <xf numFmtId="164" fontId="8" fillId="0" borderId="17" xfId="9" applyFont="1" applyBorder="1" applyAlignment="1">
      <alignment horizontal="center"/>
    </xf>
    <xf numFmtId="9" fontId="8" fillId="0" borderId="17" xfId="0" applyNumberFormat="1" applyFont="1" applyBorder="1" applyAlignment="1">
      <alignment horizontal="center" vertical="center"/>
    </xf>
    <xf numFmtId="0" fontId="8" fillId="0" borderId="36" xfId="0" applyFont="1" applyBorder="1" applyAlignment="1">
      <alignment horizontal="center" vertical="center"/>
    </xf>
    <xf numFmtId="0" fontId="8" fillId="0" borderId="42" xfId="0" applyFont="1" applyBorder="1" applyAlignment="1">
      <alignment horizontal="center" vertical="center"/>
    </xf>
    <xf numFmtId="164" fontId="8" fillId="0" borderId="42" xfId="0" applyNumberFormat="1" applyFont="1" applyBorder="1" applyAlignment="1">
      <alignment horizontal="center" vertical="center"/>
    </xf>
    <xf numFmtId="0" fontId="33" fillId="2" borderId="1" xfId="0" applyFont="1" applyFill="1" applyBorder="1" applyAlignment="1">
      <alignment horizontal="center" vertical="center"/>
    </xf>
    <xf numFmtId="0" fontId="33" fillId="6" borderId="2" xfId="0" applyFont="1" applyFill="1" applyBorder="1" applyAlignment="1">
      <alignment horizontal="center" vertical="center"/>
    </xf>
    <xf numFmtId="14" fontId="59" fillId="6" borderId="2" xfId="0" applyNumberFormat="1" applyFont="1" applyFill="1" applyBorder="1" applyAlignment="1">
      <alignment horizontal="center" vertical="center"/>
    </xf>
    <xf numFmtId="164" fontId="8" fillId="6" borderId="35" xfId="9" applyFont="1" applyFill="1" applyBorder="1" applyAlignment="1">
      <alignment horizontal="center" vertical="center"/>
    </xf>
    <xf numFmtId="9" fontId="59" fillId="6" borderId="2" xfId="0" applyNumberFormat="1" applyFont="1" applyFill="1" applyBorder="1" applyAlignment="1">
      <alignment horizontal="center" vertical="center"/>
    </xf>
    <xf numFmtId="0" fontId="59" fillId="6" borderId="1" xfId="0" applyFont="1" applyFill="1" applyBorder="1" applyAlignment="1">
      <alignment horizontal="center" vertical="center"/>
    </xf>
    <xf numFmtId="0" fontId="59" fillId="6" borderId="13" xfId="0" applyFont="1" applyFill="1" applyBorder="1" applyAlignment="1">
      <alignment horizontal="center" vertical="center"/>
    </xf>
    <xf numFmtId="164" fontId="59" fillId="6" borderId="13" xfId="0" applyNumberFormat="1" applyFont="1" applyFill="1" applyBorder="1" applyAlignment="1">
      <alignment horizontal="center" vertical="center"/>
    </xf>
    <xf numFmtId="164" fontId="63" fillId="0" borderId="0" xfId="9" applyFont="1" applyAlignment="1">
      <alignment horizontal="center" vertical="center"/>
    </xf>
    <xf numFmtId="14" fontId="8" fillId="17" borderId="35" xfId="0" applyNumberFormat="1" applyFont="1" applyFill="1" applyBorder="1" applyAlignment="1">
      <alignment horizontal="center" vertical="center"/>
    </xf>
    <xf numFmtId="164" fontId="8" fillId="17" borderId="35" xfId="9" applyFont="1" applyFill="1" applyBorder="1" applyAlignment="1">
      <alignment horizontal="center"/>
    </xf>
    <xf numFmtId="9" fontId="8" fillId="17" borderId="35" xfId="0" applyNumberFormat="1" applyFont="1" applyFill="1" applyBorder="1" applyAlignment="1">
      <alignment horizontal="center" vertical="center"/>
    </xf>
    <xf numFmtId="0" fontId="8" fillId="17" borderId="37" xfId="0" applyFont="1" applyFill="1" applyBorder="1" applyAlignment="1">
      <alignment horizontal="center" vertical="center"/>
    </xf>
    <xf numFmtId="0" fontId="8" fillId="17" borderId="40" xfId="0" applyFont="1" applyFill="1" applyBorder="1" applyAlignment="1">
      <alignment horizontal="center" vertical="center"/>
    </xf>
    <xf numFmtId="164" fontId="8" fillId="17" borderId="40" xfId="0" applyNumberFormat="1" applyFont="1" applyFill="1" applyBorder="1" applyAlignment="1">
      <alignment horizontal="center" vertical="center"/>
    </xf>
    <xf numFmtId="0" fontId="63" fillId="0" borderId="0" xfId="0" applyFont="1" applyAlignment="1">
      <alignment vertical="center"/>
    </xf>
    <xf numFmtId="14" fontId="8" fillId="17" borderId="4" xfId="0" applyNumberFormat="1" applyFont="1" applyFill="1" applyBorder="1" applyAlignment="1">
      <alignment horizontal="center" vertical="center"/>
    </xf>
    <xf numFmtId="164" fontId="8" fillId="17" borderId="4" xfId="9" applyFont="1" applyFill="1" applyBorder="1" applyAlignment="1">
      <alignment horizontal="center"/>
    </xf>
    <xf numFmtId="9" fontId="8" fillId="17" borderId="4" xfId="0" applyNumberFormat="1" applyFont="1" applyFill="1" applyBorder="1" applyAlignment="1">
      <alignment horizontal="center" vertical="center"/>
    </xf>
    <xf numFmtId="0" fontId="8" fillId="17" borderId="7" xfId="0" applyFont="1" applyFill="1" applyBorder="1" applyAlignment="1">
      <alignment horizontal="center" vertical="center"/>
    </xf>
    <xf numFmtId="0" fontId="8" fillId="17" borderId="15" xfId="0" applyFont="1" applyFill="1" applyBorder="1" applyAlignment="1">
      <alignment horizontal="center" vertical="center"/>
    </xf>
    <xf numFmtId="164" fontId="8" fillId="17" borderId="15" xfId="0" applyNumberFormat="1" applyFont="1" applyFill="1" applyBorder="1" applyAlignment="1">
      <alignment horizontal="center" vertical="center"/>
    </xf>
    <xf numFmtId="14" fontId="8" fillId="6" borderId="4" xfId="0" applyNumberFormat="1" applyFont="1" applyFill="1" applyBorder="1" applyAlignment="1">
      <alignment horizontal="center" vertical="center"/>
    </xf>
    <xf numFmtId="164" fontId="8" fillId="6" borderId="4" xfId="9" applyFont="1" applyFill="1" applyBorder="1" applyAlignment="1">
      <alignment horizontal="center"/>
    </xf>
    <xf numFmtId="9" fontId="8" fillId="6" borderId="4" xfId="0" applyNumberFormat="1" applyFont="1" applyFill="1" applyBorder="1" applyAlignment="1">
      <alignment horizontal="center" vertical="center"/>
    </xf>
    <xf numFmtId="0" fontId="8" fillId="6" borderId="7" xfId="0" applyFont="1" applyFill="1" applyBorder="1" applyAlignment="1">
      <alignment horizontal="center" vertical="center"/>
    </xf>
    <xf numFmtId="0" fontId="8" fillId="6" borderId="15" xfId="0" applyFont="1" applyFill="1" applyBorder="1" applyAlignment="1">
      <alignment horizontal="center" vertical="center"/>
    </xf>
    <xf numFmtId="164" fontId="8" fillId="6" borderId="15" xfId="0" applyNumberFormat="1" applyFont="1" applyFill="1" applyBorder="1" applyAlignment="1">
      <alignment horizontal="center" vertical="center"/>
    </xf>
    <xf numFmtId="14" fontId="8" fillId="14" borderId="4" xfId="0" applyNumberFormat="1" applyFont="1" applyFill="1" applyBorder="1" applyAlignment="1">
      <alignment horizontal="center" vertical="center"/>
    </xf>
    <xf numFmtId="164" fontId="8" fillId="14" borderId="4" xfId="9" applyFont="1" applyFill="1" applyBorder="1" applyAlignment="1">
      <alignment horizontal="center"/>
    </xf>
    <xf numFmtId="9" fontId="8" fillId="14" borderId="4" xfId="0" applyNumberFormat="1" applyFont="1" applyFill="1" applyBorder="1" applyAlignment="1">
      <alignment horizontal="center" vertical="center"/>
    </xf>
    <xf numFmtId="0" fontId="8" fillId="14" borderId="7" xfId="0" applyFont="1" applyFill="1" applyBorder="1" applyAlignment="1">
      <alignment horizontal="center" vertical="center"/>
    </xf>
    <xf numFmtId="0" fontId="8" fillId="14" borderId="15" xfId="0" applyFont="1" applyFill="1" applyBorder="1" applyAlignment="1">
      <alignment horizontal="center" vertical="center"/>
    </xf>
    <xf numFmtId="164" fontId="8" fillId="14" borderId="15" xfId="0" applyNumberFormat="1" applyFont="1" applyFill="1" applyBorder="1" applyAlignment="1">
      <alignment horizontal="center" vertical="center"/>
    </xf>
    <xf numFmtId="164" fontId="59" fillId="14" borderId="15" xfId="0" applyNumberFormat="1" applyFont="1" applyFill="1" applyBorder="1" applyAlignment="1">
      <alignment horizontal="center" vertical="center"/>
    </xf>
    <xf numFmtId="14" fontId="8" fillId="16" borderId="4" xfId="0" applyNumberFormat="1" applyFont="1" applyFill="1" applyBorder="1" applyAlignment="1">
      <alignment horizontal="center" vertical="center"/>
    </xf>
    <xf numFmtId="164" fontId="8" fillId="16" borderId="4" xfId="9" applyFont="1" applyFill="1" applyBorder="1" applyAlignment="1">
      <alignment horizontal="center"/>
    </xf>
    <xf numFmtId="9" fontId="8" fillId="16" borderId="4" xfId="0" applyNumberFormat="1" applyFont="1" applyFill="1" applyBorder="1" applyAlignment="1">
      <alignment horizontal="center" vertical="center"/>
    </xf>
    <xf numFmtId="0" fontId="8" fillId="16" borderId="7" xfId="0" applyFont="1" applyFill="1" applyBorder="1" applyAlignment="1">
      <alignment horizontal="center" vertical="center"/>
    </xf>
    <xf numFmtId="0" fontId="8" fillId="16" borderId="15" xfId="0" applyFont="1" applyFill="1" applyBorder="1" applyAlignment="1">
      <alignment horizontal="center" vertical="center"/>
    </xf>
    <xf numFmtId="164" fontId="8" fillId="16" borderId="15" xfId="0" applyNumberFormat="1" applyFont="1" applyFill="1" applyBorder="1" applyAlignment="1">
      <alignment horizontal="center" vertical="center"/>
    </xf>
    <xf numFmtId="14" fontId="8" fillId="16" borderId="17" xfId="0" applyNumberFormat="1" applyFont="1" applyFill="1" applyBorder="1" applyAlignment="1">
      <alignment horizontal="center" vertical="center"/>
    </xf>
    <xf numFmtId="164" fontId="8" fillId="16" borderId="17" xfId="9" applyFont="1" applyFill="1" applyBorder="1" applyAlignment="1">
      <alignment horizontal="center"/>
    </xf>
    <xf numFmtId="9" fontId="8" fillId="16" borderId="17" xfId="0" applyNumberFormat="1" applyFont="1" applyFill="1" applyBorder="1" applyAlignment="1">
      <alignment horizontal="center" vertical="center"/>
    </xf>
    <xf numFmtId="0" fontId="8" fillId="16" borderId="36" xfId="0" applyFont="1" applyFill="1" applyBorder="1" applyAlignment="1">
      <alignment horizontal="center" vertical="center"/>
    </xf>
    <xf numFmtId="0" fontId="8" fillId="16" borderId="42" xfId="0" applyFont="1" applyFill="1" applyBorder="1" applyAlignment="1">
      <alignment horizontal="center" vertical="center"/>
    </xf>
    <xf numFmtId="164" fontId="8" fillId="16" borderId="42" xfId="0" applyNumberFormat="1" applyFont="1" applyFill="1" applyBorder="1" applyAlignment="1">
      <alignment horizontal="center" vertical="center"/>
    </xf>
    <xf numFmtId="164" fontId="59" fillId="16" borderId="42" xfId="0" applyNumberFormat="1" applyFont="1" applyFill="1" applyBorder="1" applyAlignment="1">
      <alignment horizontal="center" vertical="center"/>
    </xf>
    <xf numFmtId="14" fontId="33" fillId="6" borderId="2" xfId="0" applyNumberFormat="1" applyFont="1" applyFill="1" applyBorder="1" applyAlignment="1">
      <alignment horizontal="center" vertical="center"/>
    </xf>
    <xf numFmtId="164" fontId="8" fillId="6" borderId="6" xfId="9" applyFont="1" applyFill="1" applyBorder="1" applyAlignment="1">
      <alignment horizontal="center" vertical="center"/>
    </xf>
    <xf numFmtId="164" fontId="59" fillId="6" borderId="13" xfId="9" applyFont="1" applyFill="1" applyBorder="1" applyAlignment="1">
      <alignment horizontal="center" vertical="center"/>
    </xf>
    <xf numFmtId="164" fontId="63" fillId="2" borderId="0" xfId="9" applyFont="1" applyFill="1" applyAlignment="1">
      <alignment vertical="center"/>
    </xf>
    <xf numFmtId="0" fontId="64" fillId="2" borderId="0" xfId="0" applyFont="1" applyFill="1" applyAlignment="1">
      <alignment vertical="center"/>
    </xf>
    <xf numFmtId="164" fontId="8" fillId="6" borderId="37" xfId="9" applyFont="1" applyFill="1" applyBorder="1" applyAlignment="1">
      <alignment horizontal="center" vertical="center"/>
    </xf>
    <xf numFmtId="164" fontId="59" fillId="17" borderId="15" xfId="0" applyNumberFormat="1" applyFont="1" applyFill="1" applyBorder="1" applyAlignment="1">
      <alignment horizontal="center" vertical="center"/>
    </xf>
    <xf numFmtId="164" fontId="59" fillId="6" borderId="15" xfId="0" applyNumberFormat="1" applyFont="1" applyFill="1" applyBorder="1" applyAlignment="1">
      <alignment horizontal="center" vertical="center"/>
    </xf>
    <xf numFmtId="164" fontId="8" fillId="6" borderId="23" xfId="9" applyFont="1" applyFill="1" applyBorder="1" applyAlignment="1">
      <alignment horizontal="center" vertical="center"/>
    </xf>
    <xf numFmtId="0" fontId="33" fillId="2" borderId="7" xfId="0" applyFont="1" applyFill="1" applyBorder="1" applyAlignment="1">
      <alignment horizontal="center" vertical="center"/>
    </xf>
    <xf numFmtId="164" fontId="8" fillId="6" borderId="1" xfId="9" applyFont="1" applyFill="1" applyBorder="1" applyAlignment="1">
      <alignment horizontal="center" vertical="center"/>
    </xf>
    <xf numFmtId="164" fontId="63" fillId="0" borderId="0" xfId="9" applyFont="1" applyAlignment="1">
      <alignment vertical="center"/>
    </xf>
    <xf numFmtId="0" fontId="2" fillId="2" borderId="7" xfId="0" applyFont="1" applyFill="1" applyBorder="1" applyAlignment="1">
      <alignment horizontal="center" vertical="center"/>
    </xf>
    <xf numFmtId="14" fontId="8" fillId="17" borderId="3" xfId="0" applyNumberFormat="1" applyFont="1" applyFill="1" applyBorder="1" applyAlignment="1">
      <alignment horizontal="center" vertical="center"/>
    </xf>
    <xf numFmtId="9" fontId="8" fillId="17" borderId="3" xfId="0" applyNumberFormat="1" applyFont="1" applyFill="1" applyBorder="1" applyAlignment="1">
      <alignment horizontal="center" vertical="center"/>
    </xf>
    <xf numFmtId="0" fontId="8" fillId="17" borderId="6" xfId="0" applyFont="1" applyFill="1" applyBorder="1" applyAlignment="1">
      <alignment horizontal="center" vertical="center"/>
    </xf>
    <xf numFmtId="0" fontId="8" fillId="17" borderId="14" xfId="0" applyFont="1" applyFill="1" applyBorder="1" applyAlignment="1">
      <alignment horizontal="center" vertical="center"/>
    </xf>
    <xf numFmtId="164" fontId="8" fillId="17" borderId="14" xfId="0" applyNumberFormat="1" applyFont="1" applyFill="1" applyBorder="1" applyAlignment="1">
      <alignment horizontal="center" vertical="center"/>
    </xf>
    <xf numFmtId="14" fontId="8" fillId="15" borderId="4" xfId="0" applyNumberFormat="1" applyFont="1" applyFill="1" applyBorder="1" applyAlignment="1">
      <alignment horizontal="center" vertical="center"/>
    </xf>
    <xf numFmtId="9" fontId="8" fillId="15" borderId="4" xfId="0" applyNumberFormat="1" applyFont="1" applyFill="1" applyBorder="1" applyAlignment="1">
      <alignment horizontal="center" vertical="center"/>
    </xf>
    <xf numFmtId="0" fontId="8" fillId="15" borderId="7" xfId="0" applyFont="1" applyFill="1" applyBorder="1" applyAlignment="1">
      <alignment horizontal="center" vertical="center"/>
    </xf>
    <xf numFmtId="0" fontId="8" fillId="15" borderId="15" xfId="0" applyFont="1" applyFill="1" applyBorder="1" applyAlignment="1">
      <alignment horizontal="center" vertical="center"/>
    </xf>
    <xf numFmtId="164" fontId="8" fillId="15" borderId="15" xfId="0" applyNumberFormat="1" applyFont="1" applyFill="1" applyBorder="1" applyAlignment="1">
      <alignment horizontal="center" vertical="center"/>
    </xf>
    <xf numFmtId="164" fontId="8" fillId="15" borderId="42" xfId="0" applyNumberFormat="1" applyFont="1" applyFill="1" applyBorder="1" applyAlignment="1">
      <alignment horizontal="center" vertical="center"/>
    </xf>
    <xf numFmtId="164" fontId="8" fillId="15" borderId="7" xfId="0" applyNumberFormat="1" applyFont="1" applyFill="1" applyBorder="1" applyAlignment="1">
      <alignment horizontal="center" vertical="center"/>
    </xf>
    <xf numFmtId="14" fontId="8" fillId="10" borderId="4" xfId="0" applyNumberFormat="1" applyFont="1" applyFill="1" applyBorder="1" applyAlignment="1">
      <alignment horizontal="center" vertical="center"/>
    </xf>
    <xf numFmtId="9" fontId="8" fillId="10" borderId="4" xfId="0" applyNumberFormat="1" applyFont="1" applyFill="1" applyBorder="1" applyAlignment="1">
      <alignment horizontal="center" vertical="center"/>
    </xf>
    <xf numFmtId="0" fontId="8" fillId="10" borderId="7" xfId="0" applyFont="1" applyFill="1" applyBorder="1" applyAlignment="1">
      <alignment horizontal="center" vertical="center"/>
    </xf>
    <xf numFmtId="0" fontId="8" fillId="10" borderId="15" xfId="0" applyFont="1" applyFill="1" applyBorder="1" applyAlignment="1">
      <alignment horizontal="center" vertical="center"/>
    </xf>
    <xf numFmtId="164" fontId="8" fillId="10" borderId="15" xfId="0" applyNumberFormat="1" applyFont="1" applyFill="1" applyBorder="1" applyAlignment="1">
      <alignment horizontal="center" vertical="center"/>
    </xf>
    <xf numFmtId="164" fontId="57" fillId="10" borderId="38" xfId="9" applyFont="1" applyFill="1" applyBorder="1" applyAlignment="1">
      <alignment horizontal="center" vertical="center"/>
    </xf>
    <xf numFmtId="0" fontId="33" fillId="2" borderId="23" xfId="0" applyFont="1" applyFill="1" applyBorder="1" applyAlignment="1">
      <alignment horizontal="center" vertical="center"/>
    </xf>
    <xf numFmtId="164" fontId="8" fillId="10" borderId="36" xfId="0" applyNumberFormat="1" applyFont="1" applyFill="1" applyBorder="1" applyAlignment="1">
      <alignment horizontal="center" vertical="center"/>
    </xf>
    <xf numFmtId="167" fontId="65" fillId="2" borderId="23" xfId="0" applyNumberFormat="1" applyFont="1" applyFill="1" applyBorder="1" applyAlignment="1">
      <alignment horizontal="center" vertical="center"/>
    </xf>
    <xf numFmtId="167" fontId="65" fillId="2" borderId="23" xfId="0" applyNumberFormat="1" applyFont="1" applyFill="1" applyBorder="1" applyAlignment="1">
      <alignment horizontal="right"/>
    </xf>
    <xf numFmtId="164" fontId="8" fillId="10" borderId="7" xfId="0" applyNumberFormat="1" applyFont="1" applyFill="1" applyBorder="1" applyAlignment="1">
      <alignment horizontal="center" vertical="center"/>
    </xf>
    <xf numFmtId="164" fontId="8" fillId="10" borderId="42" xfId="0" applyNumberFormat="1" applyFont="1" applyFill="1" applyBorder="1" applyAlignment="1">
      <alignment horizontal="center" vertical="center"/>
    </xf>
    <xf numFmtId="164" fontId="57" fillId="0" borderId="0" xfId="9" applyFont="1" applyAlignment="1">
      <alignment vertical="center"/>
    </xf>
    <xf numFmtId="0" fontId="2" fillId="2" borderId="36" xfId="0" applyFont="1" applyFill="1" applyBorder="1" applyAlignment="1">
      <alignment horizontal="center" vertical="center"/>
    </xf>
    <xf numFmtId="14" fontId="8" fillId="10" borderId="5" xfId="0" applyNumberFormat="1" applyFont="1" applyFill="1" applyBorder="1" applyAlignment="1">
      <alignment horizontal="center" vertical="center"/>
    </xf>
    <xf numFmtId="9" fontId="8" fillId="10" borderId="5" xfId="0" applyNumberFormat="1" applyFont="1" applyFill="1" applyBorder="1" applyAlignment="1">
      <alignment horizontal="center" vertical="center"/>
    </xf>
    <xf numFmtId="0" fontId="8" fillId="10" borderId="8" xfId="0" applyFont="1" applyFill="1" applyBorder="1" applyAlignment="1">
      <alignment horizontal="center" vertical="center"/>
    </xf>
    <xf numFmtId="0" fontId="8" fillId="10" borderId="16" xfId="0" applyFont="1" applyFill="1" applyBorder="1" applyAlignment="1">
      <alignment horizontal="center" vertical="center"/>
    </xf>
    <xf numFmtId="164" fontId="8" fillId="10" borderId="16" xfId="0" applyNumberFormat="1" applyFont="1" applyFill="1" applyBorder="1" applyAlignment="1">
      <alignment horizontal="center" vertical="center"/>
    </xf>
    <xf numFmtId="164" fontId="8" fillId="6" borderId="19" xfId="9" applyFont="1" applyFill="1" applyBorder="1" applyAlignment="1">
      <alignment horizontal="center" vertical="center"/>
    </xf>
    <xf numFmtId="164" fontId="59" fillId="6" borderId="21"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33" fillId="2" borderId="0" xfId="0" applyFont="1" applyFill="1" applyBorder="1" applyAlignment="1">
      <alignment vertical="center" wrapText="1"/>
    </xf>
    <xf numFmtId="14" fontId="8" fillId="18" borderId="35" xfId="0" applyNumberFormat="1" applyFont="1" applyFill="1" applyBorder="1" applyAlignment="1">
      <alignment horizontal="center" vertical="center"/>
    </xf>
    <xf numFmtId="164" fontId="8" fillId="18" borderId="35" xfId="9" applyFont="1" applyFill="1" applyBorder="1" applyAlignment="1">
      <alignment horizontal="center" vertical="center"/>
    </xf>
    <xf numFmtId="9" fontId="8" fillId="18" borderId="35" xfId="0" applyNumberFormat="1" applyFont="1" applyFill="1" applyBorder="1" applyAlignment="1">
      <alignment horizontal="center" vertical="center"/>
    </xf>
    <xf numFmtId="0" fontId="8" fillId="18" borderId="37" xfId="0" applyFont="1" applyFill="1" applyBorder="1" applyAlignment="1">
      <alignment horizontal="center" vertical="center"/>
    </xf>
    <xf numFmtId="0" fontId="8" fillId="18" borderId="40" xfId="0" applyFont="1" applyFill="1" applyBorder="1" applyAlignment="1">
      <alignment horizontal="center" vertical="center"/>
    </xf>
    <xf numFmtId="164" fontId="8" fillId="18" borderId="40" xfId="0" applyNumberFormat="1" applyFont="1" applyFill="1" applyBorder="1" applyAlignment="1">
      <alignment horizontal="center" vertical="center"/>
    </xf>
    <xf numFmtId="164" fontId="8" fillId="18" borderId="39" xfId="0" applyNumberFormat="1" applyFont="1" applyFill="1" applyBorder="1" applyAlignment="1">
      <alignment horizontal="center" vertical="center"/>
    </xf>
    <xf numFmtId="164" fontId="59" fillId="18" borderId="6" xfId="0" applyNumberFormat="1" applyFont="1" applyFill="1" applyBorder="1" applyAlignment="1">
      <alignment horizontal="center" vertical="center"/>
    </xf>
    <xf numFmtId="164" fontId="33" fillId="2" borderId="0" xfId="0" applyNumberFormat="1" applyFont="1" applyFill="1" applyBorder="1" applyAlignment="1">
      <alignment vertical="center" wrapText="1"/>
    </xf>
    <xf numFmtId="14" fontId="8" fillId="18" borderId="17" xfId="0" applyNumberFormat="1" applyFont="1" applyFill="1" applyBorder="1" applyAlignment="1">
      <alignment horizontal="center" vertical="center"/>
    </xf>
    <xf numFmtId="164" fontId="8" fillId="18" borderId="17" xfId="9" applyFont="1" applyFill="1" applyBorder="1" applyAlignment="1">
      <alignment horizontal="center" vertical="center"/>
    </xf>
    <xf numFmtId="9" fontId="8" fillId="18" borderId="17" xfId="0" applyNumberFormat="1" applyFont="1" applyFill="1" applyBorder="1" applyAlignment="1">
      <alignment horizontal="center" vertical="center"/>
    </xf>
    <xf numFmtId="0" fontId="8" fillId="18" borderId="42" xfId="0" applyFont="1" applyFill="1" applyBorder="1" applyAlignment="1">
      <alignment horizontal="center" vertical="center"/>
    </xf>
    <xf numFmtId="164" fontId="59" fillId="18" borderId="7" xfId="0" applyNumberFormat="1" applyFont="1" applyFill="1" applyBorder="1" applyAlignment="1">
      <alignment horizontal="center" vertical="center"/>
    </xf>
    <xf numFmtId="164" fontId="59" fillId="18" borderId="42" xfId="0" applyNumberFormat="1" applyFont="1" applyFill="1" applyBorder="1" applyAlignment="1">
      <alignment horizontal="center" vertical="center"/>
    </xf>
    <xf numFmtId="164" fontId="8" fillId="18" borderId="42" xfId="0" applyNumberFormat="1" applyFont="1" applyFill="1" applyBorder="1" applyAlignment="1">
      <alignment horizontal="center" vertical="center"/>
    </xf>
    <xf numFmtId="14" fontId="8" fillId="17" borderId="17" xfId="0" applyNumberFormat="1" applyFont="1" applyFill="1" applyBorder="1" applyAlignment="1">
      <alignment horizontal="center" vertical="center"/>
    </xf>
    <xf numFmtId="164" fontId="8" fillId="17" borderId="17" xfId="9" applyFont="1" applyFill="1" applyBorder="1" applyAlignment="1">
      <alignment horizontal="center" vertical="center"/>
    </xf>
    <xf numFmtId="9" fontId="8" fillId="17" borderId="17" xfId="0" applyNumberFormat="1" applyFont="1" applyFill="1" applyBorder="1" applyAlignment="1">
      <alignment horizontal="center" vertical="center"/>
    </xf>
    <xf numFmtId="0" fontId="8" fillId="17" borderId="42" xfId="0" applyFont="1" applyFill="1" applyBorder="1" applyAlignment="1">
      <alignment horizontal="center" vertical="center"/>
    </xf>
    <xf numFmtId="164" fontId="59" fillId="17" borderId="39" xfId="0" applyNumberFormat="1" applyFont="1" applyFill="1" applyBorder="1" applyAlignment="1">
      <alignment horizontal="center" vertical="center"/>
    </xf>
    <xf numFmtId="164" fontId="59" fillId="17" borderId="7" xfId="0" applyNumberFormat="1" applyFont="1" applyFill="1" applyBorder="1" applyAlignment="1">
      <alignment horizontal="center" vertical="center"/>
    </xf>
    <xf numFmtId="164" fontId="59" fillId="17" borderId="40" xfId="0" applyNumberFormat="1" applyFont="1" applyFill="1" applyBorder="1" applyAlignment="1">
      <alignment horizontal="center" vertical="center"/>
    </xf>
    <xf numFmtId="164" fontId="8" fillId="17" borderId="39" xfId="0" applyNumberFormat="1" applyFont="1" applyFill="1" applyBorder="1" applyAlignment="1">
      <alignment horizontal="center" vertical="center"/>
    </xf>
    <xf numFmtId="14" fontId="8" fillId="17" borderId="29" xfId="0" applyNumberFormat="1" applyFont="1" applyFill="1" applyBorder="1" applyAlignment="1">
      <alignment horizontal="center" vertical="center"/>
    </xf>
    <xf numFmtId="164" fontId="8" fillId="17" borderId="41" xfId="9" applyFont="1" applyFill="1" applyBorder="1" applyAlignment="1">
      <alignment horizontal="center" vertical="center"/>
    </xf>
    <xf numFmtId="14" fontId="8" fillId="17" borderId="34" xfId="0" applyNumberFormat="1" applyFont="1" applyFill="1" applyBorder="1" applyAlignment="1">
      <alignment horizontal="center" vertical="center"/>
    </xf>
    <xf numFmtId="164" fontId="21" fillId="2" borderId="0" xfId="0" applyNumberFormat="1" applyFont="1" applyFill="1" applyBorder="1" applyAlignment="1">
      <alignment vertical="center" wrapText="1"/>
    </xf>
    <xf numFmtId="164" fontId="66" fillId="0" borderId="0" xfId="0" applyNumberFormat="1" applyFont="1" applyAlignment="1">
      <alignment vertical="center"/>
    </xf>
    <xf numFmtId="14" fontId="8" fillId="17" borderId="6" xfId="0" applyNumberFormat="1" applyFont="1" applyFill="1" applyBorder="1" applyAlignment="1">
      <alignment horizontal="center" vertical="center"/>
    </xf>
    <xf numFmtId="14" fontId="8" fillId="17" borderId="11" xfId="0" applyNumberFormat="1" applyFont="1" applyFill="1" applyBorder="1" applyAlignment="1">
      <alignment horizontal="center" vertical="center"/>
    </xf>
    <xf numFmtId="14" fontId="8" fillId="13" borderId="7" xfId="0" applyNumberFormat="1" applyFont="1" applyFill="1" applyBorder="1" applyAlignment="1">
      <alignment horizontal="center" vertical="center"/>
    </xf>
    <xf numFmtId="14" fontId="8" fillId="13" borderId="11" xfId="0" applyNumberFormat="1" applyFont="1" applyFill="1" applyBorder="1" applyAlignment="1">
      <alignment horizontal="center" vertical="center"/>
    </xf>
    <xf numFmtId="164" fontId="8" fillId="13" borderId="17" xfId="9" applyFont="1" applyFill="1" applyBorder="1" applyAlignment="1">
      <alignment horizontal="center" vertical="center"/>
    </xf>
    <xf numFmtId="9" fontId="8" fillId="13" borderId="17" xfId="0" applyNumberFormat="1" applyFont="1" applyFill="1" applyBorder="1" applyAlignment="1">
      <alignment horizontal="center" vertical="center"/>
    </xf>
    <xf numFmtId="0" fontId="8" fillId="13" borderId="37" xfId="0" applyFont="1" applyFill="1" applyBorder="1" applyAlignment="1">
      <alignment horizontal="center" vertical="center"/>
    </xf>
    <xf numFmtId="0" fontId="8" fillId="13" borderId="42" xfId="0" applyFont="1" applyFill="1" applyBorder="1" applyAlignment="1">
      <alignment horizontal="center" vertical="center"/>
    </xf>
    <xf numFmtId="164" fontId="8" fillId="13" borderId="40" xfId="0" applyNumberFormat="1" applyFont="1" applyFill="1" applyBorder="1" applyAlignment="1">
      <alignment horizontal="center" vertical="center"/>
    </xf>
    <xf numFmtId="164" fontId="8" fillId="13" borderId="39" xfId="0" applyNumberFormat="1" applyFont="1" applyFill="1" applyBorder="1" applyAlignment="1">
      <alignment horizontal="center" vertical="center"/>
    </xf>
    <xf numFmtId="164" fontId="59" fillId="13" borderId="7" xfId="0" applyNumberFormat="1" applyFont="1" applyFill="1" applyBorder="1" applyAlignment="1">
      <alignment horizontal="center" vertical="center"/>
    </xf>
    <xf numFmtId="14" fontId="8" fillId="13" borderId="36" xfId="0" applyNumberFormat="1" applyFont="1" applyFill="1" applyBorder="1" applyAlignment="1">
      <alignment horizontal="center" vertical="center"/>
    </xf>
    <xf numFmtId="14" fontId="8" fillId="13" borderId="1" xfId="0" applyNumberFormat="1" applyFont="1" applyFill="1" applyBorder="1" applyAlignment="1">
      <alignment horizontal="center" vertical="center"/>
    </xf>
    <xf numFmtId="14" fontId="8" fillId="13" borderId="0" xfId="0" applyNumberFormat="1" applyFont="1" applyFill="1" applyBorder="1" applyAlignment="1">
      <alignment horizontal="center" vertical="center"/>
    </xf>
    <xf numFmtId="0" fontId="8" fillId="13" borderId="23" xfId="0" applyFont="1" applyFill="1" applyBorder="1" applyAlignment="1">
      <alignment horizontal="center" vertical="center"/>
    </xf>
    <xf numFmtId="164" fontId="8" fillId="13" borderId="38" xfId="0" applyNumberFormat="1" applyFont="1" applyFill="1" applyBorder="1" applyAlignment="1">
      <alignment horizontal="center" vertical="center"/>
    </xf>
    <xf numFmtId="164" fontId="8" fillId="13" borderId="0" xfId="0" applyNumberFormat="1" applyFont="1" applyFill="1" applyBorder="1" applyAlignment="1">
      <alignment horizontal="center" vertical="center"/>
    </xf>
    <xf numFmtId="0" fontId="67" fillId="0" borderId="0" xfId="0" applyFont="1" applyAlignment="1">
      <alignment vertical="center"/>
    </xf>
    <xf numFmtId="14" fontId="8" fillId="13" borderId="2" xfId="0" applyNumberFormat="1" applyFont="1" applyFill="1" applyBorder="1" applyAlignment="1">
      <alignment horizontal="center" vertical="center"/>
    </xf>
    <xf numFmtId="164" fontId="8" fillId="13" borderId="2" xfId="9" applyFont="1" applyFill="1" applyBorder="1" applyAlignment="1">
      <alignment horizontal="center" vertical="center"/>
    </xf>
    <xf numFmtId="9" fontId="8" fillId="13" borderId="2" xfId="0" applyNumberFormat="1" applyFont="1" applyFill="1" applyBorder="1" applyAlignment="1">
      <alignment horizontal="center" vertical="center"/>
    </xf>
    <xf numFmtId="0" fontId="8" fillId="13" borderId="1" xfId="0" applyFont="1" applyFill="1" applyBorder="1" applyAlignment="1">
      <alignment horizontal="center" vertical="center"/>
    </xf>
    <xf numFmtId="164" fontId="8" fillId="13" borderId="1" xfId="0" applyNumberFormat="1" applyFont="1" applyFill="1" applyBorder="1" applyAlignment="1">
      <alignment horizontal="center" vertical="center"/>
    </xf>
    <xf numFmtId="164" fontId="8" fillId="13" borderId="13" xfId="0" applyNumberFormat="1" applyFont="1" applyFill="1" applyBorder="1" applyAlignment="1">
      <alignment horizontal="center" vertical="center"/>
    </xf>
    <xf numFmtId="43" fontId="59" fillId="6" borderId="13" xfId="9" applyNumberFormat="1" applyFont="1" applyFill="1" applyBorder="1" applyAlignment="1">
      <alignment horizontal="center" vertical="center"/>
    </xf>
    <xf numFmtId="164" fontId="57" fillId="0" borderId="0" xfId="0" applyNumberFormat="1" applyFont="1" applyAlignment="1">
      <alignment vertical="center"/>
    </xf>
    <xf numFmtId="0" fontId="9" fillId="18" borderId="1"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2" xfId="0" applyFont="1" applyFill="1" applyBorder="1" applyAlignment="1">
      <alignment horizontal="center" vertical="center"/>
    </xf>
    <xf numFmtId="0" fontId="9" fillId="18" borderId="13" xfId="0" applyFont="1" applyFill="1" applyBorder="1" applyAlignment="1">
      <alignment horizontal="center" vertical="center"/>
    </xf>
    <xf numFmtId="164" fontId="9" fillId="18" borderId="13" xfId="9" applyFont="1" applyFill="1" applyBorder="1" applyAlignment="1">
      <alignment horizontal="center" vertical="center"/>
    </xf>
    <xf numFmtId="43" fontId="68" fillId="0" borderId="0" xfId="0" applyNumberFormat="1" applyFont="1" applyAlignment="1">
      <alignment vertical="center"/>
    </xf>
    <xf numFmtId="0" fontId="57" fillId="0" borderId="0" xfId="0" applyFont="1" applyAlignment="1">
      <alignment horizontal="center" vertical="center"/>
    </xf>
    <xf numFmtId="43" fontId="57" fillId="0" borderId="0" xfId="0" applyNumberFormat="1" applyFont="1" applyAlignment="1">
      <alignment vertical="center"/>
    </xf>
    <xf numFmtId="164" fontId="59" fillId="13" borderId="36" xfId="0" applyNumberFormat="1" applyFont="1" applyFill="1" applyBorder="1" applyAlignment="1">
      <alignment horizontal="center" vertical="center"/>
    </xf>
    <xf numFmtId="164" fontId="59" fillId="6" borderId="1" xfId="9" applyFont="1" applyFill="1" applyBorder="1" applyAlignment="1">
      <alignment horizontal="center" vertical="center"/>
    </xf>
    <xf numFmtId="0" fontId="21" fillId="0" borderId="0" xfId="0" applyFont="1" applyFill="1" applyAlignment="1">
      <alignment horizontal="center" wrapText="1"/>
    </xf>
    <xf numFmtId="10" fontId="25" fillId="0" borderId="0" xfId="2" applyNumberFormat="1" applyFont="1" applyBorder="1" applyAlignment="1">
      <alignment vertical="center"/>
    </xf>
    <xf numFmtId="177" fontId="8" fillId="0" borderId="0" xfId="0" applyNumberFormat="1" applyFont="1"/>
    <xf numFmtId="165" fontId="34" fillId="0" borderId="7" xfId="1" applyNumberFormat="1" applyFont="1" applyFill="1" applyBorder="1" applyAlignment="1">
      <alignment vertical="center" wrapText="1" readingOrder="1"/>
    </xf>
    <xf numFmtId="165" fontId="35" fillId="2" borderId="8" xfId="1" applyNumberFormat="1" applyFont="1" applyFill="1" applyBorder="1" applyAlignment="1">
      <alignment horizontal="center" vertical="center" wrapText="1" readingOrder="1"/>
    </xf>
    <xf numFmtId="0" fontId="9" fillId="2" borderId="8" xfId="0" applyFont="1" applyFill="1" applyBorder="1" applyAlignment="1">
      <alignment horizontal="left" vertical="center" wrapText="1"/>
    </xf>
    <xf numFmtId="0" fontId="9" fillId="0" borderId="12" xfId="0" applyFont="1" applyBorder="1" applyAlignment="1">
      <alignment horizontal="center" vertical="center" wrapText="1"/>
    </xf>
    <xf numFmtId="167" fontId="9" fillId="2" borderId="5" xfId="1" applyNumberFormat="1" applyFont="1" applyFill="1" applyBorder="1" applyAlignment="1">
      <alignment horizontal="center" vertical="center"/>
    </xf>
    <xf numFmtId="0" fontId="9" fillId="2" borderId="18" xfId="1" applyNumberFormat="1" applyFont="1" applyFill="1" applyBorder="1" applyAlignment="1">
      <alignment horizontal="center" vertical="center"/>
    </xf>
    <xf numFmtId="9" fontId="9" fillId="0" borderId="8" xfId="2" applyFont="1" applyBorder="1" applyAlignment="1">
      <alignment horizontal="center" vertical="center" wrapText="1"/>
    </xf>
    <xf numFmtId="165" fontId="9" fillId="2" borderId="19" xfId="1" applyNumberFormat="1" applyFont="1" applyFill="1" applyBorder="1" applyAlignment="1">
      <alignment vertical="center" readingOrder="1"/>
    </xf>
    <xf numFmtId="165" fontId="9" fillId="2" borderId="18" xfId="1" applyNumberFormat="1" applyFont="1" applyFill="1" applyBorder="1" applyAlignment="1">
      <alignment vertical="center" readingOrder="1"/>
    </xf>
    <xf numFmtId="165" fontId="35" fillId="2" borderId="17" xfId="1" applyNumberFormat="1" applyFont="1" applyFill="1" applyBorder="1" applyAlignment="1">
      <alignment vertical="center" wrapText="1" readingOrder="1"/>
    </xf>
    <xf numFmtId="165" fontId="9" fillId="2" borderId="17" xfId="1" applyNumberFormat="1" applyFont="1" applyFill="1" applyBorder="1" applyAlignment="1">
      <alignment vertical="center" readingOrder="1"/>
    </xf>
    <xf numFmtId="165" fontId="35" fillId="2" borderId="37" xfId="1" applyNumberFormat="1" applyFont="1" applyFill="1" applyBorder="1" applyAlignment="1">
      <alignment vertical="center" wrapText="1" readingOrder="1"/>
    </xf>
    <xf numFmtId="165" fontId="35" fillId="2" borderId="11" xfId="1" applyNumberFormat="1" applyFont="1" applyFill="1" applyBorder="1" applyAlignment="1">
      <alignment vertical="center" wrapText="1" readingOrder="1"/>
    </xf>
    <xf numFmtId="43" fontId="36" fillId="0" borderId="0" xfId="1" applyFont="1" applyAlignment="1"/>
    <xf numFmtId="3" fontId="0" fillId="0" borderId="0" xfId="0" applyNumberFormat="1" applyFont="1" applyAlignment="1"/>
    <xf numFmtId="165" fontId="0" fillId="0" borderId="0" xfId="1" applyNumberFormat="1" applyFont="1" applyAlignment="1"/>
    <xf numFmtId="43" fontId="22" fillId="0" borderId="0" xfId="1" applyFont="1"/>
    <xf numFmtId="43" fontId="12" fillId="0" borderId="0" xfId="1" applyFont="1" applyAlignment="1"/>
    <xf numFmtId="0" fontId="19" fillId="0" borderId="0" xfId="0" applyFont="1" applyFill="1"/>
    <xf numFmtId="0" fontId="13" fillId="0" borderId="0" xfId="0" applyFont="1" applyFill="1" applyBorder="1"/>
    <xf numFmtId="0" fontId="13" fillId="0" borderId="0" xfId="0" applyFont="1" applyFill="1" applyBorder="1" applyAlignment="1">
      <alignment horizontal="center" vertical="center"/>
    </xf>
    <xf numFmtId="0" fontId="19" fillId="0" borderId="0" xfId="0" applyFont="1" applyFill="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3" fontId="19" fillId="0" borderId="0" xfId="0" applyNumberFormat="1" applyFont="1" applyFill="1"/>
    <xf numFmtId="43" fontId="19" fillId="0" borderId="0" xfId="0" applyNumberFormat="1" applyFont="1" applyFill="1"/>
    <xf numFmtId="49" fontId="19" fillId="0" borderId="40" xfId="0" applyNumberFormat="1" applyFont="1" applyFill="1" applyBorder="1" applyAlignment="1">
      <alignment horizontal="left" vertical="center" wrapText="1"/>
    </xf>
    <xf numFmtId="3" fontId="13" fillId="0" borderId="37"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43" fontId="19" fillId="0" borderId="0" xfId="1" applyFont="1" applyFill="1"/>
    <xf numFmtId="3" fontId="13" fillId="0" borderId="8" xfId="0" applyNumberFormat="1" applyFont="1" applyFill="1" applyBorder="1" applyAlignment="1">
      <alignment horizontal="center" vertical="center" wrapText="1"/>
    </xf>
    <xf numFmtId="3" fontId="13" fillId="0" borderId="19"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4" fontId="19" fillId="0" borderId="0" xfId="0" applyNumberFormat="1" applyFont="1" applyFill="1" applyAlignment="1">
      <alignment horizontal="center" vertical="center"/>
    </xf>
    <xf numFmtId="49" fontId="19" fillId="0" borderId="38" xfId="0" applyNumberFormat="1"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178" fontId="19" fillId="0" borderId="0" xfId="0" applyNumberFormat="1" applyFont="1" applyFill="1"/>
    <xf numFmtId="4" fontId="19" fillId="0" borderId="0" xfId="0" applyNumberFormat="1" applyFont="1" applyFill="1"/>
    <xf numFmtId="43" fontId="19" fillId="0" borderId="0" xfId="0" applyNumberFormat="1" applyFont="1" applyFill="1" applyAlignment="1">
      <alignment horizontal="center" vertical="center"/>
    </xf>
    <xf numFmtId="4" fontId="19" fillId="0" borderId="0" xfId="0" applyNumberFormat="1" applyFont="1" applyFill="1" applyAlignment="1">
      <alignment vertical="center"/>
    </xf>
    <xf numFmtId="0" fontId="19" fillId="0" borderId="0" xfId="0" applyFont="1" applyFill="1" applyAlignment="1">
      <alignment horizontal="center"/>
    </xf>
    <xf numFmtId="179" fontId="19" fillId="0" borderId="0" xfId="0" applyNumberFormat="1" applyFont="1" applyFill="1"/>
    <xf numFmtId="3" fontId="9" fillId="0" borderId="1" xfId="0" applyNumberFormat="1" applyFont="1" applyFill="1" applyBorder="1" applyAlignment="1">
      <alignment horizontal="center" vertical="center" wrapText="1"/>
    </xf>
    <xf numFmtId="3" fontId="25" fillId="0" borderId="0" xfId="0" applyNumberFormat="1" applyFont="1" applyFill="1" applyBorder="1" applyAlignment="1">
      <alignment horizontal="center" vertical="center" wrapText="1"/>
    </xf>
    <xf numFmtId="0" fontId="19" fillId="0" borderId="0" xfId="0" applyFont="1" applyFill="1" applyBorder="1"/>
    <xf numFmtId="0" fontId="9" fillId="0" borderId="0" xfId="0" applyFont="1" applyFill="1" applyBorder="1"/>
    <xf numFmtId="0" fontId="9" fillId="0" borderId="0" xfId="0" applyFont="1" applyFill="1" applyBorder="1" applyAlignment="1">
      <alignment horizontal="center" vertical="center"/>
    </xf>
    <xf numFmtId="0" fontId="19" fillId="0" borderId="0" xfId="0" applyFont="1" applyFill="1" applyBorder="1" applyAlignment="1">
      <alignment horizontal="center" vertical="center"/>
    </xf>
    <xf numFmtId="179" fontId="19" fillId="0" borderId="0" xfId="0" applyNumberFormat="1" applyFont="1" applyFill="1" applyBorder="1"/>
    <xf numFmtId="0" fontId="2" fillId="0" borderId="0" xfId="0" applyFont="1" applyFill="1" applyBorder="1" applyAlignment="1">
      <alignment horizontal="left" vertical="top" wrapText="1"/>
    </xf>
    <xf numFmtId="0" fontId="21" fillId="0" borderId="0" xfId="0" applyFont="1" applyFill="1" applyAlignment="1">
      <alignment horizontal="left" vertical="top" wrapText="1"/>
    </xf>
    <xf numFmtId="0" fontId="13" fillId="0" borderId="0" xfId="0" applyFont="1" applyFill="1" applyAlignment="1">
      <alignment horizontal="center" wrapText="1"/>
    </xf>
    <xf numFmtId="0" fontId="13" fillId="0" borderId="0" xfId="0" applyFont="1" applyFill="1" applyAlignment="1">
      <alignment horizontal="center" vertical="center" wrapText="1"/>
    </xf>
    <xf numFmtId="43" fontId="13" fillId="0" borderId="0" xfId="1" applyFont="1" applyFill="1" applyAlignment="1">
      <alignment horizontal="center" vertical="center" wrapText="1"/>
    </xf>
    <xf numFmtId="3" fontId="13" fillId="0" borderId="0" xfId="0" applyNumberFormat="1" applyFont="1" applyFill="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wrapText="1"/>
    </xf>
    <xf numFmtId="0" fontId="13" fillId="0" borderId="0" xfId="0" applyFont="1" applyFill="1" applyAlignment="1">
      <alignment horizontal="center"/>
    </xf>
    <xf numFmtId="43" fontId="13" fillId="0" borderId="0" xfId="0" applyNumberFormat="1" applyFont="1" applyFill="1" applyAlignment="1">
      <alignment horizontal="center" vertical="center"/>
    </xf>
    <xf numFmtId="0" fontId="13" fillId="0" borderId="0" xfId="0" applyFont="1" applyFill="1"/>
    <xf numFmtId="0" fontId="70" fillId="0" borderId="0" xfId="0" applyFont="1" applyFill="1" applyAlignment="1">
      <alignment horizontal="center" vertical="center"/>
    </xf>
    <xf numFmtId="43" fontId="0" fillId="0" borderId="0" xfId="0" applyNumberFormat="1" applyAlignment="1">
      <alignment vertical="center"/>
    </xf>
    <xf numFmtId="0" fontId="6" fillId="2" borderId="22" xfId="0" applyFont="1" applyFill="1" applyBorder="1" applyAlignment="1">
      <alignment horizontal="right" vertical="center" wrapText="1" readingOrder="1"/>
    </xf>
    <xf numFmtId="0" fontId="6" fillId="2" borderId="19"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26" fillId="0" borderId="0" xfId="0" applyFont="1" applyAlignment="1">
      <alignment horizontal="right"/>
    </xf>
    <xf numFmtId="165" fontId="34" fillId="0" borderId="29" xfId="1" applyNumberFormat="1" applyFont="1" applyFill="1" applyBorder="1" applyAlignment="1">
      <alignment vertical="center" wrapText="1" readingOrder="1"/>
    </xf>
    <xf numFmtId="165" fontId="34" fillId="0" borderId="4" xfId="1" applyNumberFormat="1" applyFont="1" applyFill="1" applyBorder="1" applyAlignment="1">
      <alignment vertical="center" wrapText="1" readingOrder="1"/>
    </xf>
    <xf numFmtId="165" fontId="34" fillId="0" borderId="37" xfId="1" applyNumberFormat="1" applyFont="1" applyFill="1" applyBorder="1" applyAlignment="1">
      <alignment vertical="center" wrapText="1" readingOrder="1"/>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right" vertical="center" wrapText="1"/>
    </xf>
    <xf numFmtId="43" fontId="13" fillId="0" borderId="23" xfId="1" applyFont="1" applyFill="1" applyBorder="1" applyAlignment="1">
      <alignment horizontal="center" vertical="center"/>
    </xf>
    <xf numFmtId="9" fontId="13" fillId="0" borderId="23" xfId="2" applyFont="1" applyFill="1" applyBorder="1" applyAlignment="1">
      <alignment horizontal="center" vertical="center"/>
    </xf>
    <xf numFmtId="43" fontId="56" fillId="0" borderId="0" xfId="1" applyFont="1" applyFill="1" applyBorder="1" applyAlignment="1">
      <alignment horizontal="center" vertical="center"/>
    </xf>
    <xf numFmtId="0" fontId="13" fillId="0" borderId="1" xfId="0" applyFont="1" applyFill="1" applyBorder="1" applyAlignment="1">
      <alignment horizontal="center" vertical="center"/>
    </xf>
    <xf numFmtId="43" fontId="13" fillId="0" borderId="20" xfId="1" applyFont="1" applyFill="1" applyBorder="1" applyAlignment="1">
      <alignment horizontal="center" vertical="center"/>
    </xf>
    <xf numFmtId="9" fontId="13" fillId="0" borderId="1" xfId="2" applyFont="1" applyFill="1" applyBorder="1" applyAlignment="1">
      <alignment horizontal="center" vertical="center"/>
    </xf>
    <xf numFmtId="43" fontId="13" fillId="0" borderId="9" xfId="1" applyFont="1" applyFill="1" applyBorder="1" applyAlignment="1">
      <alignment horizontal="center" vertical="center"/>
    </xf>
    <xf numFmtId="43" fontId="13" fillId="0" borderId="3" xfId="1" applyFont="1" applyFill="1" applyBorder="1" applyAlignment="1">
      <alignment horizontal="center" vertical="center"/>
    </xf>
    <xf numFmtId="43" fontId="13" fillId="0" borderId="14" xfId="1" applyFont="1" applyFill="1" applyBorder="1" applyAlignment="1">
      <alignment horizontal="center" vertical="center"/>
    </xf>
    <xf numFmtId="43" fontId="13" fillId="0" borderId="15" xfId="1" applyFont="1" applyFill="1" applyBorder="1" applyAlignment="1">
      <alignment horizontal="center" vertical="center"/>
    </xf>
    <xf numFmtId="43" fontId="13" fillId="0" borderId="4" xfId="1" applyFont="1" applyFill="1" applyBorder="1" applyAlignment="1">
      <alignment horizontal="center" vertical="center"/>
    </xf>
    <xf numFmtId="0" fontId="21" fillId="0" borderId="0" xfId="0" applyFont="1" applyAlignment="1">
      <alignment vertical="center" wrapText="1"/>
    </xf>
    <xf numFmtId="0" fontId="26" fillId="0" borderId="0" xfId="0" applyFont="1" applyBorder="1" applyAlignment="1">
      <alignment vertical="center" wrapText="1"/>
    </xf>
    <xf numFmtId="0" fontId="26" fillId="0" borderId="22" xfId="0" applyFont="1" applyBorder="1" applyAlignment="1">
      <alignment vertical="center" wrapText="1"/>
    </xf>
    <xf numFmtId="0" fontId="45" fillId="9" borderId="1" xfId="4" applyFont="1" applyFill="1" applyBorder="1" applyAlignment="1">
      <alignment horizontal="center" vertical="center"/>
    </xf>
    <xf numFmtId="164" fontId="45" fillId="9" borderId="27" xfId="6" applyFont="1" applyFill="1" applyBorder="1" applyAlignment="1">
      <alignment horizontal="center" vertical="center"/>
    </xf>
    <xf numFmtId="164" fontId="45" fillId="9" borderId="1" xfId="6" applyFont="1" applyFill="1" applyBorder="1" applyAlignment="1">
      <alignment horizontal="center" vertical="center"/>
    </xf>
    <xf numFmtId="164" fontId="13" fillId="6" borderId="40" xfId="6" applyNumberFormat="1" applyFont="1" applyFill="1" applyBorder="1" applyAlignment="1">
      <alignment horizontal="right" vertical="center"/>
    </xf>
    <xf numFmtId="164" fontId="13" fillId="0" borderId="38" xfId="6" applyNumberFormat="1" applyFont="1" applyBorder="1" applyAlignment="1">
      <alignment horizontal="right" vertical="center"/>
    </xf>
    <xf numFmtId="164" fontId="13" fillId="0" borderId="1" xfId="6" applyNumberFormat="1" applyFont="1" applyBorder="1" applyAlignment="1">
      <alignment horizontal="right" vertical="center"/>
    </xf>
    <xf numFmtId="14" fontId="26" fillId="6" borderId="0" xfId="0" applyNumberFormat="1" applyFont="1" applyFill="1" applyAlignment="1">
      <alignment horizontal="center" vertical="center"/>
    </xf>
    <xf numFmtId="165" fontId="34" fillId="0" borderId="6" xfId="1" applyNumberFormat="1" applyFont="1" applyFill="1" applyBorder="1" applyAlignment="1">
      <alignment vertical="center" wrapText="1" readingOrder="1"/>
    </xf>
    <xf numFmtId="165" fontId="34" fillId="0" borderId="40" xfId="1" applyNumberFormat="1" applyFont="1" applyFill="1" applyBorder="1" applyAlignment="1">
      <alignment vertical="center" wrapText="1" readingOrder="1"/>
    </xf>
    <xf numFmtId="165" fontId="34" fillId="0" borderId="15" xfId="1" applyNumberFormat="1" applyFont="1" applyFill="1" applyBorder="1" applyAlignment="1">
      <alignment vertical="center" wrapText="1" readingOrder="1"/>
    </xf>
    <xf numFmtId="165" fontId="13" fillId="0" borderId="19" xfId="1" applyNumberFormat="1" applyFont="1" applyFill="1" applyBorder="1" applyAlignment="1">
      <alignment vertical="center" readingOrder="1"/>
    </xf>
    <xf numFmtId="165" fontId="34" fillId="0" borderId="11" xfId="1" applyNumberFormat="1" applyFont="1" applyFill="1" applyBorder="1" applyAlignment="1">
      <alignment vertical="center" wrapText="1" readingOrder="1"/>
    </xf>
    <xf numFmtId="14" fontId="13" fillId="0" borderId="19" xfId="0" applyNumberFormat="1" applyFont="1" applyFill="1" applyBorder="1" applyAlignment="1">
      <alignment horizontal="center" vertical="center" wrapText="1"/>
    </xf>
    <xf numFmtId="43" fontId="57" fillId="6" borderId="0" xfId="1" applyFont="1" applyFill="1" applyAlignment="1">
      <alignment vertical="center"/>
    </xf>
    <xf numFmtId="165" fontId="8" fillId="0" borderId="0" xfId="0" applyNumberFormat="1" applyFont="1"/>
    <xf numFmtId="165" fontId="13" fillId="6" borderId="61" xfId="1" applyNumberFormat="1" applyFont="1" applyFill="1" applyBorder="1" applyAlignment="1">
      <alignment horizontal="center" vertical="center"/>
    </xf>
    <xf numFmtId="165" fontId="13" fillId="6" borderId="29" xfId="1" applyNumberFormat="1" applyFont="1" applyFill="1" applyBorder="1" applyAlignment="1">
      <alignment horizontal="center" vertical="center"/>
    </xf>
    <xf numFmtId="165" fontId="9" fillId="19" borderId="0" xfId="0" applyNumberFormat="1" applyFont="1" applyFill="1" applyAlignment="1">
      <alignment horizontal="center" vertical="center"/>
    </xf>
    <xf numFmtId="0" fontId="71" fillId="2" borderId="1" xfId="0" applyFont="1" applyFill="1" applyBorder="1" applyAlignment="1">
      <alignment horizontal="center" vertical="center" wrapText="1" readingOrder="1"/>
    </xf>
    <xf numFmtId="165" fontId="56" fillId="2" borderId="37" xfId="1" applyNumberFormat="1" applyFont="1" applyFill="1" applyBorder="1" applyAlignment="1">
      <alignment vertical="center" wrapText="1" readingOrder="1"/>
    </xf>
    <xf numFmtId="165" fontId="56" fillId="2" borderId="7" xfId="1" applyNumberFormat="1" applyFont="1" applyFill="1" applyBorder="1" applyAlignment="1">
      <alignment vertical="center" wrapText="1" readingOrder="1"/>
    </xf>
    <xf numFmtId="165" fontId="56" fillId="2" borderId="4" xfId="1" applyNumberFormat="1" applyFont="1" applyFill="1" applyBorder="1" applyAlignment="1">
      <alignment vertical="center" wrapText="1" readingOrder="1"/>
    </xf>
    <xf numFmtId="165" fontId="56" fillId="0" borderId="7" xfId="1" applyNumberFormat="1" applyFont="1" applyFill="1" applyBorder="1" applyAlignment="1">
      <alignment vertical="center" wrapText="1" readingOrder="1"/>
    </xf>
    <xf numFmtId="165" fontId="56" fillId="0" borderId="36" xfId="1" applyNumberFormat="1" applyFont="1" applyFill="1" applyBorder="1" applyAlignment="1">
      <alignment vertical="center" wrapText="1" readingOrder="1"/>
    </xf>
    <xf numFmtId="165" fontId="56" fillId="2" borderId="1" xfId="1" applyNumberFormat="1" applyFont="1" applyFill="1" applyBorder="1" applyAlignment="1">
      <alignment vertical="center" wrapText="1" readingOrder="1"/>
    </xf>
    <xf numFmtId="165" fontId="32" fillId="0" borderId="23" xfId="1" applyNumberFormat="1" applyFont="1" applyFill="1" applyBorder="1" applyAlignment="1">
      <alignment vertical="center" wrapText="1" readingOrder="1"/>
    </xf>
    <xf numFmtId="0" fontId="2" fillId="19" borderId="2" xfId="0" applyFont="1" applyFill="1" applyBorder="1" applyAlignment="1">
      <alignment horizontal="center" vertical="center"/>
    </xf>
    <xf numFmtId="0" fontId="9" fillId="19" borderId="8" xfId="0" applyFont="1" applyFill="1" applyBorder="1" applyAlignment="1">
      <alignment horizontal="center" vertical="center" wrapText="1"/>
    </xf>
    <xf numFmtId="0" fontId="2" fillId="19" borderId="1" xfId="0" applyFont="1" applyFill="1" applyBorder="1" applyAlignment="1">
      <alignment horizontal="center" vertical="center" wrapText="1"/>
    </xf>
    <xf numFmtId="167" fontId="33" fillId="19" borderId="1" xfId="1" applyNumberFormat="1" applyFont="1" applyFill="1" applyBorder="1" applyAlignment="1">
      <alignment horizontal="center" vertical="center"/>
    </xf>
    <xf numFmtId="0" fontId="2" fillId="19" borderId="1" xfId="1" applyNumberFormat="1" applyFont="1" applyFill="1" applyBorder="1" applyAlignment="1">
      <alignment horizontal="center" vertical="center"/>
    </xf>
    <xf numFmtId="0" fontId="2" fillId="19" borderId="13" xfId="1" applyNumberFormat="1" applyFont="1" applyFill="1" applyBorder="1" applyAlignment="1">
      <alignment horizontal="center" vertical="center"/>
    </xf>
    <xf numFmtId="9" fontId="2" fillId="19" borderId="9" xfId="2" applyFont="1" applyFill="1" applyBorder="1" applyAlignment="1">
      <alignment horizontal="center" vertical="center" wrapText="1"/>
    </xf>
    <xf numFmtId="165" fontId="10" fillId="19" borderId="2" xfId="1" applyNumberFormat="1" applyFont="1" applyFill="1" applyBorder="1" applyAlignment="1">
      <alignment vertical="center" readingOrder="1"/>
    </xf>
    <xf numFmtId="165" fontId="10" fillId="19" borderId="18" xfId="1" applyNumberFormat="1" applyFont="1" applyFill="1" applyBorder="1" applyAlignment="1">
      <alignment vertical="center" readingOrder="1"/>
    </xf>
    <xf numFmtId="165" fontId="10" fillId="19" borderId="1" xfId="1" applyNumberFormat="1" applyFont="1" applyFill="1" applyBorder="1" applyAlignment="1">
      <alignment vertical="center" readingOrder="1"/>
    </xf>
    <xf numFmtId="165" fontId="10" fillId="19" borderId="13" xfId="1" applyNumberFormat="1" applyFont="1" applyFill="1" applyBorder="1" applyAlignment="1">
      <alignment vertical="center" readingOrder="1"/>
    </xf>
    <xf numFmtId="165" fontId="72" fillId="19" borderId="13" xfId="0" applyNumberFormat="1" applyFont="1" applyFill="1" applyBorder="1" applyAlignment="1">
      <alignment vertical="center" readingOrder="1"/>
    </xf>
    <xf numFmtId="165" fontId="9" fillId="0" borderId="0" xfId="0" applyNumberFormat="1" applyFont="1" applyFill="1" applyAlignment="1">
      <alignment horizontal="center" vertical="center"/>
    </xf>
    <xf numFmtId="0" fontId="32" fillId="2" borderId="24" xfId="0" applyFont="1" applyFill="1" applyBorder="1" applyAlignment="1">
      <alignment horizontal="center" vertical="center" wrapText="1" readingOrder="1"/>
    </xf>
    <xf numFmtId="165" fontId="56" fillId="0" borderId="6" xfId="1" applyNumberFormat="1" applyFont="1" applyFill="1" applyBorder="1" applyAlignment="1">
      <alignment vertical="center" wrapText="1" readingOrder="1"/>
    </xf>
    <xf numFmtId="165" fontId="56" fillId="0" borderId="19" xfId="1" applyNumberFormat="1" applyFont="1" applyFill="1" applyBorder="1" applyAlignment="1">
      <alignment vertical="center" readingOrder="1"/>
    </xf>
    <xf numFmtId="0" fontId="13" fillId="19" borderId="2" xfId="0" applyFont="1" applyFill="1" applyBorder="1" applyAlignment="1">
      <alignment horizontal="center" vertical="center"/>
    </xf>
    <xf numFmtId="0" fontId="13" fillId="19" borderId="1" xfId="0" applyFont="1" applyFill="1" applyBorder="1" applyAlignment="1">
      <alignment horizontal="center" vertical="center" wrapText="1"/>
    </xf>
    <xf numFmtId="167" fontId="13" fillId="19" borderId="1" xfId="1" applyNumberFormat="1" applyFont="1" applyFill="1" applyBorder="1" applyAlignment="1">
      <alignment horizontal="center" vertical="center"/>
    </xf>
    <xf numFmtId="0" fontId="13" fillId="19" borderId="1" xfId="1" applyNumberFormat="1" applyFont="1" applyFill="1" applyBorder="1" applyAlignment="1">
      <alignment horizontal="center" vertical="center"/>
    </xf>
    <xf numFmtId="0" fontId="13" fillId="19" borderId="13" xfId="1" applyNumberFormat="1" applyFont="1" applyFill="1" applyBorder="1" applyAlignment="1">
      <alignment horizontal="center" vertical="center"/>
    </xf>
    <xf numFmtId="9" fontId="13" fillId="19" borderId="9" xfId="2" applyFont="1" applyFill="1" applyBorder="1" applyAlignment="1">
      <alignment horizontal="center" vertical="center" wrapText="1"/>
    </xf>
    <xf numFmtId="165" fontId="9" fillId="19" borderId="2" xfId="1" applyNumberFormat="1" applyFont="1" applyFill="1" applyBorder="1" applyAlignment="1">
      <alignment vertical="center" readingOrder="1"/>
    </xf>
    <xf numFmtId="165" fontId="9" fillId="19" borderId="1" xfId="1" applyNumberFormat="1" applyFont="1" applyFill="1" applyBorder="1" applyAlignment="1">
      <alignment vertical="center" readingOrder="1"/>
    </xf>
    <xf numFmtId="165" fontId="32" fillId="19" borderId="1" xfId="1" applyNumberFormat="1" applyFont="1" applyFill="1" applyBorder="1" applyAlignment="1">
      <alignment vertical="center" readingOrder="1"/>
    </xf>
    <xf numFmtId="165" fontId="9" fillId="19" borderId="13" xfId="1" applyNumberFormat="1" applyFont="1" applyFill="1" applyBorder="1" applyAlignment="1">
      <alignment vertical="center" readingOrder="1"/>
    </xf>
    <xf numFmtId="165" fontId="9" fillId="19" borderId="13" xfId="0" applyNumberFormat="1" applyFont="1" applyFill="1" applyBorder="1" applyAlignment="1">
      <alignment vertical="center" readingOrder="1"/>
    </xf>
    <xf numFmtId="165" fontId="9" fillId="19" borderId="9" xfId="0" applyNumberFormat="1" applyFont="1" applyFill="1" applyBorder="1" applyAlignment="1">
      <alignment vertical="center" readingOrder="1"/>
    </xf>
    <xf numFmtId="3" fontId="13" fillId="19" borderId="73" xfId="0" applyNumberFormat="1" applyFont="1" applyFill="1" applyBorder="1" applyAlignment="1">
      <alignment horizontal="center" vertical="center" wrapText="1"/>
    </xf>
    <xf numFmtId="3" fontId="13" fillId="19" borderId="63" xfId="0" applyNumberFormat="1" applyFont="1" applyFill="1" applyBorder="1" applyAlignment="1">
      <alignment horizontal="center" vertical="center" wrapText="1"/>
    </xf>
    <xf numFmtId="3" fontId="56" fillId="0" borderId="37" xfId="0" applyNumberFormat="1" applyFont="1" applyFill="1" applyBorder="1" applyAlignment="1">
      <alignment horizontal="center" vertical="center" wrapText="1"/>
    </xf>
    <xf numFmtId="3" fontId="56" fillId="0" borderId="8" xfId="0" applyNumberFormat="1" applyFont="1" applyFill="1" applyBorder="1" applyAlignment="1">
      <alignment horizontal="center" vertical="center" wrapText="1"/>
    </xf>
    <xf numFmtId="3" fontId="32" fillId="0" borderId="37" xfId="1" applyNumberFormat="1" applyFont="1" applyFill="1" applyBorder="1" applyAlignment="1">
      <alignment horizontal="center" vertical="center"/>
    </xf>
    <xf numFmtId="3" fontId="32" fillId="0" borderId="19" xfId="0" applyNumberFormat="1" applyFont="1" applyFill="1" applyBorder="1" applyAlignment="1">
      <alignment horizontal="center" vertical="center" wrapText="1"/>
    </xf>
    <xf numFmtId="14" fontId="13" fillId="20" borderId="19" xfId="0" applyNumberFormat="1" applyFont="1" applyFill="1" applyBorder="1" applyAlignment="1">
      <alignment horizontal="center" vertical="center" wrapText="1"/>
    </xf>
    <xf numFmtId="49" fontId="19" fillId="20" borderId="40" xfId="0" applyNumberFormat="1" applyFont="1" applyFill="1" applyBorder="1" applyAlignment="1">
      <alignment horizontal="left" vertical="center" wrapText="1"/>
    </xf>
    <xf numFmtId="3" fontId="13" fillId="20" borderId="37" xfId="0" applyNumberFormat="1" applyFont="1" applyFill="1" applyBorder="1" applyAlignment="1">
      <alignment horizontal="center" vertical="center" wrapText="1"/>
    </xf>
    <xf numFmtId="3" fontId="13" fillId="20" borderId="73" xfId="0" applyNumberFormat="1" applyFont="1" applyFill="1" applyBorder="1" applyAlignment="1">
      <alignment horizontal="center" vertical="center" wrapText="1"/>
    </xf>
    <xf numFmtId="49" fontId="19" fillId="20" borderId="24" xfId="0" applyNumberFormat="1" applyFont="1" applyFill="1" applyBorder="1" applyAlignment="1">
      <alignment horizontal="left" vertical="center" wrapText="1"/>
    </xf>
    <xf numFmtId="3" fontId="13" fillId="20" borderId="63" xfId="0" applyNumberFormat="1" applyFont="1" applyFill="1" applyBorder="1" applyAlignment="1">
      <alignment horizontal="center" vertical="center" wrapText="1"/>
    </xf>
    <xf numFmtId="3" fontId="13" fillId="20" borderId="19" xfId="0" applyNumberFormat="1" applyFont="1" applyFill="1" applyBorder="1" applyAlignment="1">
      <alignment horizontal="center" vertical="center" wrapText="1"/>
    </xf>
    <xf numFmtId="3" fontId="56" fillId="20" borderId="37" xfId="0" applyNumberFormat="1" applyFont="1" applyFill="1" applyBorder="1" applyAlignment="1">
      <alignment horizontal="center" vertical="center" wrapText="1"/>
    </xf>
    <xf numFmtId="3" fontId="56" fillId="20" borderId="8" xfId="0" applyNumberFormat="1" applyFont="1" applyFill="1" applyBorder="1" applyAlignment="1">
      <alignment horizontal="center" vertical="center" wrapText="1"/>
    </xf>
    <xf numFmtId="3" fontId="32" fillId="20" borderId="37" xfId="1" applyNumberFormat="1" applyFont="1" applyFill="1" applyBorder="1" applyAlignment="1">
      <alignment horizontal="center" vertical="center"/>
    </xf>
    <xf numFmtId="3" fontId="32" fillId="20" borderId="19" xfId="0" applyNumberFormat="1" applyFont="1" applyFill="1" applyBorder="1" applyAlignment="1">
      <alignment horizontal="center" vertical="center" wrapText="1"/>
    </xf>
    <xf numFmtId="3" fontId="56" fillId="0" borderId="73" xfId="0" applyNumberFormat="1" applyFont="1" applyFill="1" applyBorder="1" applyAlignment="1">
      <alignment horizontal="center" vertical="center" wrapText="1"/>
    </xf>
    <xf numFmtId="0" fontId="73" fillId="0" borderId="0" xfId="0" applyFont="1" applyFill="1" applyAlignment="1">
      <alignment horizontal="center" vertical="center"/>
    </xf>
    <xf numFmtId="3" fontId="56" fillId="0" borderId="6"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xf>
    <xf numFmtId="14" fontId="56" fillId="0" borderId="19" xfId="0"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readingOrder="1"/>
    </xf>
    <xf numFmtId="165" fontId="56" fillId="2" borderId="8" xfId="1" applyNumberFormat="1" applyFont="1" applyFill="1" applyBorder="1" applyAlignment="1">
      <alignment vertical="center" wrapText="1" readingOrder="1"/>
    </xf>
    <xf numFmtId="165" fontId="32" fillId="19" borderId="13" xfId="0" applyNumberFormat="1" applyFont="1" applyFill="1" applyBorder="1" applyAlignment="1">
      <alignment vertical="center" readingOrder="1"/>
    </xf>
    <xf numFmtId="0" fontId="13" fillId="9" borderId="7" xfId="0" applyFont="1" applyFill="1" applyBorder="1" applyAlignment="1">
      <alignment horizontal="center" vertical="center"/>
    </xf>
    <xf numFmtId="14" fontId="13" fillId="9" borderId="15" xfId="0" applyNumberFormat="1" applyFont="1" applyFill="1" applyBorder="1" applyAlignment="1">
      <alignment horizontal="center" vertical="center"/>
    </xf>
    <xf numFmtId="14" fontId="13" fillId="9" borderId="7" xfId="0" applyNumberFormat="1" applyFont="1" applyFill="1" applyBorder="1" applyAlignment="1">
      <alignment horizontal="center" vertical="center"/>
    </xf>
    <xf numFmtId="43" fontId="13" fillId="9" borderId="7" xfId="1" applyFont="1" applyFill="1" applyBorder="1" applyAlignment="1">
      <alignment horizontal="center" vertical="center"/>
    </xf>
    <xf numFmtId="9" fontId="13" fillId="9" borderId="7" xfId="2" applyFont="1" applyFill="1" applyBorder="1" applyAlignment="1">
      <alignment horizontal="center" vertical="center"/>
    </xf>
    <xf numFmtId="1" fontId="13" fillId="9" borderId="15" xfId="2" applyNumberFormat="1" applyFont="1" applyFill="1" applyBorder="1" applyAlignment="1">
      <alignment horizontal="center" vertical="center"/>
    </xf>
    <xf numFmtId="43" fontId="13" fillId="9" borderId="40" xfId="1" applyFont="1" applyFill="1" applyBorder="1" applyAlignment="1">
      <alignment horizontal="center" vertical="center"/>
    </xf>
    <xf numFmtId="43" fontId="13" fillId="9" borderId="39" xfId="1" applyFont="1" applyFill="1" applyBorder="1" applyAlignment="1">
      <alignment horizontal="center" vertical="center"/>
    </xf>
    <xf numFmtId="14" fontId="13" fillId="9" borderId="40" xfId="0" applyNumberFormat="1" applyFont="1" applyFill="1" applyBorder="1" applyAlignment="1">
      <alignment horizontal="center" vertical="center"/>
    </xf>
    <xf numFmtId="14" fontId="13" fillId="9" borderId="37" xfId="0" applyNumberFormat="1" applyFont="1" applyFill="1" applyBorder="1" applyAlignment="1">
      <alignment horizontal="center" vertical="center"/>
    </xf>
    <xf numFmtId="43" fontId="13" fillId="9" borderId="37" xfId="1" applyFont="1" applyFill="1" applyBorder="1" applyAlignment="1">
      <alignment horizontal="center" vertical="center"/>
    </xf>
    <xf numFmtId="9" fontId="13" fillId="9" borderId="37" xfId="2" applyFont="1" applyFill="1" applyBorder="1" applyAlignment="1">
      <alignment horizontal="center" vertical="center"/>
    </xf>
    <xf numFmtId="1" fontId="13" fillId="9" borderId="40" xfId="2" applyNumberFormat="1" applyFont="1" applyFill="1" applyBorder="1" applyAlignment="1">
      <alignment horizontal="center" vertical="center"/>
    </xf>
    <xf numFmtId="43" fontId="13" fillId="9" borderId="11" xfId="1" applyFont="1" applyFill="1" applyBorder="1" applyAlignment="1">
      <alignment horizontal="center" vertical="center"/>
    </xf>
    <xf numFmtId="14" fontId="13" fillId="9" borderId="61" xfId="0" applyNumberFormat="1" applyFont="1" applyFill="1" applyBorder="1" applyAlignment="1">
      <alignment horizontal="center" vertical="center"/>
    </xf>
    <xf numFmtId="14" fontId="13" fillId="9" borderId="26" xfId="0" applyNumberFormat="1" applyFont="1" applyFill="1" applyBorder="1" applyAlignment="1">
      <alignment horizontal="center" vertical="center"/>
    </xf>
    <xf numFmtId="43" fontId="13" fillId="9" borderId="15" xfId="1" applyFont="1" applyFill="1" applyBorder="1" applyAlignment="1">
      <alignment horizontal="center" vertical="center"/>
    </xf>
    <xf numFmtId="9" fontId="13" fillId="9" borderId="4" xfId="2" applyFont="1" applyFill="1" applyBorder="1" applyAlignment="1">
      <alignment horizontal="center" vertical="center"/>
    </xf>
    <xf numFmtId="0" fontId="13" fillId="9" borderId="7" xfId="2" applyNumberFormat="1" applyFont="1" applyFill="1" applyBorder="1" applyAlignment="1">
      <alignment horizontal="center" vertical="center"/>
    </xf>
    <xf numFmtId="14" fontId="13" fillId="9" borderId="65" xfId="0" applyNumberFormat="1" applyFont="1" applyFill="1" applyBorder="1" applyAlignment="1">
      <alignment horizontal="center" vertical="center"/>
    </xf>
    <xf numFmtId="14" fontId="13" fillId="9" borderId="30" xfId="0" applyNumberFormat="1" applyFont="1" applyFill="1" applyBorder="1" applyAlignment="1">
      <alignment horizontal="center" vertical="center"/>
    </xf>
    <xf numFmtId="9" fontId="13" fillId="9" borderId="35" xfId="2" applyFont="1" applyFill="1" applyBorder="1" applyAlignment="1">
      <alignment horizontal="center" vertical="center"/>
    </xf>
    <xf numFmtId="0" fontId="13" fillId="9" borderId="37" xfId="2" applyNumberFormat="1" applyFont="1" applyFill="1" applyBorder="1" applyAlignment="1">
      <alignment horizontal="center" vertical="center"/>
    </xf>
    <xf numFmtId="0" fontId="13" fillId="9" borderId="8" xfId="0" applyFont="1" applyFill="1" applyBorder="1" applyAlignment="1">
      <alignment horizontal="center" vertical="center"/>
    </xf>
    <xf numFmtId="14" fontId="13" fillId="9" borderId="66" xfId="0" applyNumberFormat="1" applyFont="1" applyFill="1" applyBorder="1" applyAlignment="1">
      <alignment horizontal="center" vertical="center"/>
    </xf>
    <xf numFmtId="14" fontId="13" fillId="9" borderId="31" xfId="0" applyNumberFormat="1" applyFont="1" applyFill="1" applyBorder="1" applyAlignment="1">
      <alignment horizontal="center" vertical="center"/>
    </xf>
    <xf numFmtId="9" fontId="13" fillId="9" borderId="34" xfId="2" applyFont="1" applyFill="1" applyBorder="1" applyAlignment="1">
      <alignment horizontal="center" vertical="center"/>
    </xf>
    <xf numFmtId="0" fontId="13" fillId="9" borderId="36" xfId="2" applyNumberFormat="1" applyFont="1" applyFill="1" applyBorder="1" applyAlignment="1">
      <alignment horizontal="center" vertical="center"/>
    </xf>
    <xf numFmtId="43" fontId="13" fillId="9" borderId="0" xfId="1" applyFont="1" applyFill="1" applyBorder="1" applyAlignment="1">
      <alignment horizontal="center" vertical="center"/>
    </xf>
    <xf numFmtId="43" fontId="13" fillId="9" borderId="23" xfId="1" applyFont="1" applyFill="1" applyBorder="1" applyAlignment="1">
      <alignment horizontal="center" vertical="center"/>
    </xf>
    <xf numFmtId="43" fontId="33" fillId="0" borderId="0" xfId="1" applyNumberFormat="1" applyFont="1" applyAlignment="1">
      <alignment horizontal="left"/>
    </xf>
    <xf numFmtId="0" fontId="21" fillId="0" borderId="0" xfId="0" applyFont="1" applyAlignment="1">
      <alignment horizontal="center" wrapText="1"/>
    </xf>
    <xf numFmtId="0" fontId="74" fillId="0" borderId="76" xfId="0" applyFont="1" applyBorder="1" applyAlignment="1"/>
    <xf numFmtId="0" fontId="74" fillId="0" borderId="77" xfId="0" applyFont="1" applyBorder="1" applyAlignment="1"/>
    <xf numFmtId="0" fontId="74" fillId="0" borderId="25" xfId="0" applyFont="1" applyBorder="1" applyAlignment="1"/>
    <xf numFmtId="165" fontId="75" fillId="0" borderId="78" xfId="1" applyNumberFormat="1" applyFont="1" applyBorder="1" applyAlignment="1"/>
    <xf numFmtId="165" fontId="75" fillId="0" borderId="79" xfId="1" applyNumberFormat="1" applyFont="1" applyBorder="1" applyAlignment="1"/>
    <xf numFmtId="165" fontId="75" fillId="0" borderId="80" xfId="1" applyNumberFormat="1" applyFont="1" applyBorder="1" applyAlignment="1"/>
    <xf numFmtId="0" fontId="21" fillId="0" borderId="0"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33" fillId="0" borderId="1" xfId="0" applyFont="1" applyFill="1" applyBorder="1" applyAlignment="1">
      <alignment horizontal="center" vertical="center" wrapText="1"/>
    </xf>
    <xf numFmtId="164" fontId="8" fillId="13" borderId="2" xfId="0" applyNumberFormat="1" applyFont="1" applyFill="1" applyBorder="1" applyAlignment="1">
      <alignment horizontal="center" vertical="center"/>
    </xf>
    <xf numFmtId="0" fontId="33" fillId="6" borderId="2" xfId="0" applyFont="1" applyFill="1" applyBorder="1" applyAlignment="1">
      <alignment vertical="center" wrapText="1"/>
    </xf>
    <xf numFmtId="9" fontId="8" fillId="6" borderId="19" xfId="2" applyFont="1" applyFill="1" applyBorder="1" applyAlignment="1">
      <alignment horizontal="center" vertical="center"/>
    </xf>
    <xf numFmtId="0" fontId="8" fillId="6" borderId="19" xfId="9" applyNumberFormat="1" applyFont="1" applyFill="1" applyBorder="1" applyAlignment="1">
      <alignment horizontal="center" vertical="center"/>
    </xf>
    <xf numFmtId="164" fontId="32" fillId="18" borderId="13" xfId="9" applyFont="1" applyFill="1" applyBorder="1" applyAlignment="1">
      <alignment horizontal="center" vertical="center"/>
    </xf>
    <xf numFmtId="0" fontId="25" fillId="0" borderId="40" xfId="0"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3" fontId="9" fillId="19" borderId="2" xfId="0" applyNumberFormat="1" applyFont="1" applyFill="1" applyBorder="1" applyAlignment="1">
      <alignment horizontal="center" vertical="center" wrapText="1"/>
    </xf>
    <xf numFmtId="4" fontId="32" fillId="0" borderId="1"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0" fontId="76" fillId="0" borderId="40" xfId="0" applyFont="1" applyFill="1" applyBorder="1" applyAlignment="1">
      <alignment horizontal="center" vertical="center" wrapText="1"/>
    </xf>
    <xf numFmtId="0" fontId="25" fillId="20" borderId="14" xfId="0" applyFont="1" applyFill="1" applyBorder="1" applyAlignment="1">
      <alignment horizontal="center" vertical="center" wrapText="1"/>
    </xf>
    <xf numFmtId="3" fontId="32" fillId="20" borderId="1" xfId="0" applyNumberFormat="1" applyFont="1" applyFill="1" applyBorder="1" applyAlignment="1">
      <alignment horizontal="center" vertical="center" wrapText="1"/>
    </xf>
    <xf numFmtId="3" fontId="9" fillId="20" borderId="2" xfId="0" applyNumberFormat="1" applyFont="1" applyFill="1" applyBorder="1" applyAlignment="1">
      <alignment horizontal="center" vertical="center" wrapText="1"/>
    </xf>
    <xf numFmtId="3" fontId="9" fillId="20" borderId="1" xfId="0" applyNumberFormat="1" applyFont="1" applyFill="1" applyBorder="1" applyAlignment="1">
      <alignment horizontal="center" vertical="center" wrapText="1"/>
    </xf>
    <xf numFmtId="0" fontId="25" fillId="0" borderId="14" xfId="0" applyFont="1" applyFill="1" applyBorder="1" applyAlignment="1">
      <alignment horizontal="center" vertical="center" wrapText="1"/>
    </xf>
    <xf numFmtId="4" fontId="9" fillId="19" borderId="2" xfId="0" applyNumberFormat="1" applyFont="1" applyFill="1" applyBorder="1" applyAlignment="1">
      <alignment horizontal="center" vertical="center" wrapText="1"/>
    </xf>
    <xf numFmtId="167" fontId="20" fillId="0" borderId="9" xfId="6" applyNumberFormat="1" applyFont="1" applyFill="1" applyBorder="1" applyAlignment="1">
      <alignment horizontal="center" vertical="center"/>
    </xf>
    <xf numFmtId="167" fontId="80" fillId="2" borderId="36" xfId="6" applyNumberFormat="1" applyFont="1" applyFill="1" applyBorder="1" applyAlignment="1">
      <alignment horizontal="center" vertical="center"/>
    </xf>
    <xf numFmtId="167" fontId="80" fillId="3" borderId="1" xfId="0" applyNumberFormat="1" applyFont="1" applyFill="1" applyBorder="1" applyAlignment="1">
      <alignment vertical="center"/>
    </xf>
    <xf numFmtId="43" fontId="81" fillId="0" borderId="0" xfId="0" applyNumberFormat="1" applyFont="1" applyAlignment="1">
      <alignment vertical="center"/>
    </xf>
    <xf numFmtId="0" fontId="81" fillId="0" borderId="0" xfId="0" applyFont="1" applyAlignment="1">
      <alignment vertical="center"/>
    </xf>
    <xf numFmtId="164" fontId="81" fillId="0" borderId="0" xfId="0" applyNumberFormat="1" applyFont="1" applyAlignment="1">
      <alignment vertical="center"/>
    </xf>
    <xf numFmtId="43" fontId="82" fillId="0" borderId="0" xfId="0" applyNumberFormat="1" applyFont="1" applyAlignment="1">
      <alignment vertical="center"/>
    </xf>
    <xf numFmtId="167" fontId="8" fillId="13" borderId="1" xfId="0" applyNumberFormat="1" applyFont="1" applyFill="1" applyBorder="1" applyAlignment="1">
      <alignment horizontal="center" vertical="center"/>
    </xf>
    <xf numFmtId="14" fontId="59" fillId="0" borderId="2" xfId="0" applyNumberFormat="1" applyFont="1" applyFill="1" applyBorder="1" applyAlignment="1">
      <alignment horizontal="center" vertical="center"/>
    </xf>
    <xf numFmtId="14" fontId="33" fillId="0" borderId="2" xfId="0" applyNumberFormat="1" applyFont="1" applyFill="1" applyBorder="1" applyAlignment="1">
      <alignment horizontal="center" vertical="center"/>
    </xf>
    <xf numFmtId="0" fontId="8" fillId="13" borderId="1" xfId="2" applyNumberFormat="1" applyFont="1" applyFill="1" applyBorder="1" applyAlignment="1">
      <alignment horizontal="right" vertical="center"/>
    </xf>
    <xf numFmtId="164" fontId="8" fillId="13" borderId="18" xfId="0" applyNumberFormat="1" applyFont="1" applyFill="1" applyBorder="1" applyAlignment="1">
      <alignment horizontal="center" vertical="center"/>
    </xf>
    <xf numFmtId="9" fontId="8" fillId="13" borderId="18" xfId="0" applyNumberFormat="1" applyFont="1" applyFill="1" applyBorder="1" applyAlignment="1">
      <alignment horizontal="center" vertical="center"/>
    </xf>
    <xf numFmtId="167" fontId="8" fillId="13" borderId="19" xfId="0" applyNumberFormat="1" applyFont="1" applyFill="1" applyBorder="1" applyAlignment="1">
      <alignment horizontal="center" vertical="center"/>
    </xf>
    <xf numFmtId="0" fontId="8" fillId="13" borderId="19" xfId="0" applyFont="1" applyFill="1" applyBorder="1" applyAlignment="1">
      <alignment horizontal="center" vertical="center"/>
    </xf>
    <xf numFmtId="164" fontId="8" fillId="13" borderId="19" xfId="0" applyNumberFormat="1" applyFont="1" applyFill="1" applyBorder="1" applyAlignment="1">
      <alignment horizontal="center" vertical="center"/>
    </xf>
    <xf numFmtId="14" fontId="8" fillId="13" borderId="18" xfId="0" applyNumberFormat="1" applyFont="1" applyFill="1" applyBorder="1" applyAlignment="1">
      <alignment horizontal="center" vertical="center"/>
    </xf>
    <xf numFmtId="0" fontId="8" fillId="13" borderId="19" xfId="2" applyNumberFormat="1" applyFont="1" applyFill="1" applyBorder="1" applyAlignment="1">
      <alignment horizontal="right" vertical="center"/>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167" fontId="32" fillId="0" borderId="2" xfId="1" applyNumberFormat="1" applyFont="1" applyFill="1" applyBorder="1" applyAlignment="1">
      <alignment horizontal="center" vertical="center"/>
    </xf>
    <xf numFmtId="43" fontId="13" fillId="0" borderId="13" xfId="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3" fillId="0" borderId="3" xfId="0" applyFont="1" applyFill="1" applyBorder="1" applyAlignment="1">
      <alignment horizontal="center" vertical="center"/>
    </xf>
    <xf numFmtId="14" fontId="13" fillId="0" borderId="6" xfId="0" applyNumberFormat="1" applyFont="1" applyFill="1" applyBorder="1" applyAlignment="1">
      <alignment horizontal="center" vertical="center"/>
    </xf>
    <xf numFmtId="14" fontId="13" fillId="0" borderId="3" xfId="0" applyNumberFormat="1" applyFont="1" applyFill="1" applyBorder="1" applyAlignment="1">
      <alignment horizontal="center" vertical="center"/>
    </xf>
    <xf numFmtId="166" fontId="13" fillId="0" borderId="6" xfId="1" applyNumberFormat="1" applyFont="1" applyFill="1" applyBorder="1" applyAlignment="1">
      <alignment horizontal="center" vertical="center"/>
    </xf>
    <xf numFmtId="9" fontId="13" fillId="0" borderId="14" xfId="2" applyFont="1" applyFill="1" applyBorder="1" applyAlignment="1">
      <alignment horizontal="center" vertical="center"/>
    </xf>
    <xf numFmtId="0" fontId="13" fillId="0" borderId="10" xfId="2" applyNumberFormat="1" applyFont="1" applyFill="1" applyBorder="1" applyAlignment="1">
      <alignment horizontal="center" vertical="center"/>
    </xf>
    <xf numFmtId="1" fontId="13" fillId="0" borderId="6" xfId="2" applyNumberFormat="1" applyFont="1" applyFill="1" applyBorder="1" applyAlignment="1">
      <alignment horizontal="center" vertical="center"/>
    </xf>
    <xf numFmtId="166" fontId="13" fillId="0" borderId="10" xfId="1" applyNumberFormat="1" applyFont="1" applyFill="1" applyBorder="1" applyAlignment="1">
      <alignment horizontal="center" vertical="center"/>
    </xf>
    <xf numFmtId="0" fontId="13" fillId="0" borderId="4" xfId="0" applyFont="1" applyFill="1" applyBorder="1" applyAlignment="1">
      <alignment horizontal="center" vertical="center"/>
    </xf>
    <xf numFmtId="14" fontId="13" fillId="0" borderId="4" xfId="0" applyNumberFormat="1" applyFont="1" applyFill="1" applyBorder="1" applyAlignment="1">
      <alignment horizontal="center" vertical="center"/>
    </xf>
    <xf numFmtId="166" fontId="13" fillId="0" borderId="7" xfId="1" applyNumberFormat="1" applyFont="1" applyFill="1" applyBorder="1" applyAlignment="1">
      <alignment horizontal="center" vertical="center"/>
    </xf>
    <xf numFmtId="9" fontId="13" fillId="0" borderId="15" xfId="2" applyFont="1" applyFill="1" applyBorder="1" applyAlignment="1">
      <alignment horizontal="center" vertical="center"/>
    </xf>
    <xf numFmtId="0" fontId="13" fillId="0" borderId="11" xfId="2" applyNumberFormat="1" applyFont="1" applyFill="1" applyBorder="1" applyAlignment="1">
      <alignment horizontal="center" vertical="center"/>
    </xf>
    <xf numFmtId="1" fontId="13" fillId="0" borderId="7" xfId="2" applyNumberFormat="1" applyFont="1" applyFill="1" applyBorder="1" applyAlignment="1">
      <alignment horizontal="center" vertical="center"/>
    </xf>
    <xf numFmtId="166" fontId="13" fillId="0" borderId="11" xfId="1" applyNumberFormat="1" applyFont="1" applyFill="1" applyBorder="1" applyAlignment="1">
      <alignment horizontal="center" vertical="center"/>
    </xf>
    <xf numFmtId="0" fontId="13" fillId="13" borderId="3" xfId="0" applyFont="1" applyFill="1" applyBorder="1" applyAlignment="1">
      <alignment horizontal="center" vertical="center"/>
    </xf>
    <xf numFmtId="14" fontId="13" fillId="13" borderId="6" xfId="0" applyNumberFormat="1" applyFont="1" applyFill="1" applyBorder="1" applyAlignment="1">
      <alignment horizontal="center" vertical="center"/>
    </xf>
    <xf numFmtId="14" fontId="13" fillId="13" borderId="3" xfId="0" applyNumberFormat="1" applyFont="1" applyFill="1" applyBorder="1" applyAlignment="1">
      <alignment horizontal="center" vertical="center"/>
    </xf>
    <xf numFmtId="166" fontId="13" fillId="13" borderId="37" xfId="1" applyNumberFormat="1" applyFont="1" applyFill="1" applyBorder="1" applyAlignment="1">
      <alignment horizontal="center" vertical="center"/>
    </xf>
    <xf numFmtId="9" fontId="13" fillId="13" borderId="40" xfId="2" applyFont="1" applyFill="1" applyBorder="1" applyAlignment="1">
      <alignment horizontal="center" vertical="center"/>
    </xf>
    <xf numFmtId="0" fontId="13" fillId="13" borderId="39" xfId="2" applyNumberFormat="1" applyFont="1" applyFill="1" applyBorder="1" applyAlignment="1">
      <alignment horizontal="center" vertical="center"/>
    </xf>
    <xf numFmtId="1" fontId="13" fillId="13" borderId="37" xfId="2" applyNumberFormat="1" applyFont="1" applyFill="1" applyBorder="1" applyAlignment="1">
      <alignment horizontal="center" vertical="center"/>
    </xf>
    <xf numFmtId="166" fontId="13" fillId="13" borderId="40" xfId="1" applyNumberFormat="1" applyFont="1" applyFill="1" applyBorder="1" applyAlignment="1">
      <alignment horizontal="center" vertical="center"/>
    </xf>
    <xf numFmtId="166" fontId="13" fillId="13" borderId="11" xfId="1" applyNumberFormat="1" applyFont="1" applyFill="1" applyBorder="1" applyAlignment="1">
      <alignment horizontal="center" vertical="center"/>
    </xf>
    <xf numFmtId="166" fontId="13" fillId="13" borderId="7" xfId="1" applyNumberFormat="1" applyFont="1" applyFill="1" applyBorder="1" applyAlignment="1">
      <alignment horizontal="center" vertical="center"/>
    </xf>
    <xf numFmtId="165" fontId="13" fillId="13" borderId="4" xfId="1" applyNumberFormat="1" applyFont="1" applyFill="1" applyBorder="1" applyAlignment="1">
      <alignment horizontal="center" vertical="center"/>
    </xf>
    <xf numFmtId="43" fontId="13" fillId="13" borderId="7" xfId="1" applyFont="1" applyFill="1" applyBorder="1" applyAlignment="1">
      <alignment horizontal="center" vertical="center"/>
    </xf>
    <xf numFmtId="43" fontId="13" fillId="13" borderId="40" xfId="1" applyFont="1" applyFill="1" applyBorder="1" applyAlignment="1">
      <alignment horizontal="center" vertical="center"/>
    </xf>
    <xf numFmtId="166" fontId="13" fillId="0" borderId="37" xfId="1" applyNumberFormat="1" applyFont="1" applyFill="1" applyBorder="1" applyAlignment="1">
      <alignment horizontal="center" vertical="center"/>
    </xf>
    <xf numFmtId="9" fontId="13" fillId="0" borderId="40" xfId="2" applyFont="1" applyFill="1" applyBorder="1" applyAlignment="1">
      <alignment horizontal="center" vertical="center"/>
    </xf>
    <xf numFmtId="1" fontId="13" fillId="0" borderId="37" xfId="2" applyNumberFormat="1" applyFont="1" applyFill="1" applyBorder="1" applyAlignment="1">
      <alignment horizontal="center" vertical="center"/>
    </xf>
    <xf numFmtId="166" fontId="13" fillId="0" borderId="40" xfId="1" applyNumberFormat="1" applyFont="1" applyFill="1" applyBorder="1" applyAlignment="1">
      <alignment horizontal="center" vertical="center"/>
    </xf>
    <xf numFmtId="0" fontId="13" fillId="13" borderId="4" xfId="0" applyFont="1" applyFill="1" applyBorder="1" applyAlignment="1">
      <alignment horizontal="center" vertical="center"/>
    </xf>
    <xf numFmtId="0" fontId="13" fillId="13" borderId="11" xfId="2" applyNumberFormat="1" applyFont="1" applyFill="1" applyBorder="1" applyAlignment="1">
      <alignment horizontal="center" vertical="center"/>
    </xf>
    <xf numFmtId="166" fontId="13" fillId="0" borderId="15" xfId="1" applyNumberFormat="1" applyFont="1" applyFill="1" applyBorder="1" applyAlignment="1">
      <alignment horizontal="center" vertical="center"/>
    </xf>
    <xf numFmtId="0" fontId="13" fillId="0" borderId="39" xfId="2" applyNumberFormat="1" applyFont="1" applyFill="1" applyBorder="1" applyAlignment="1">
      <alignment horizontal="center" vertical="center"/>
    </xf>
    <xf numFmtId="43" fontId="13" fillId="0" borderId="4" xfId="1" applyNumberFormat="1" applyFont="1" applyFill="1" applyBorder="1" applyAlignment="1">
      <alignment horizontal="center" vertical="center"/>
    </xf>
    <xf numFmtId="43" fontId="13" fillId="0" borderId="7" xfId="1" applyNumberFormat="1" applyFont="1" applyFill="1" applyBorder="1" applyAlignment="1">
      <alignment horizontal="center" vertical="center"/>
    </xf>
    <xf numFmtId="14" fontId="13" fillId="13" borderId="7" xfId="0" applyNumberFormat="1" applyFont="1" applyFill="1" applyBorder="1" applyAlignment="1">
      <alignment horizontal="center" vertical="center"/>
    </xf>
    <xf numFmtId="14" fontId="13" fillId="13" borderId="4" xfId="0" applyNumberFormat="1" applyFont="1" applyFill="1" applyBorder="1" applyAlignment="1">
      <alignment horizontal="center" vertical="center"/>
    </xf>
    <xf numFmtId="43" fontId="13" fillId="13" borderId="7" xfId="1" applyNumberFormat="1" applyFont="1" applyFill="1" applyBorder="1" applyAlignment="1">
      <alignment horizontal="center" vertical="center"/>
    </xf>
    <xf numFmtId="166" fontId="13" fillId="0" borderId="22" xfId="1" applyNumberFormat="1" applyFont="1" applyFill="1" applyBorder="1" applyAlignment="1">
      <alignment horizontal="center" vertical="center"/>
    </xf>
    <xf numFmtId="0" fontId="9" fillId="0" borderId="13" xfId="2" applyNumberFormat="1" applyFont="1" applyFill="1" applyBorder="1" applyAlignment="1">
      <alignment horizontal="center" vertical="center"/>
    </xf>
    <xf numFmtId="1" fontId="13" fillId="0" borderId="9" xfId="2" applyNumberFormat="1" applyFont="1" applyFill="1" applyBorder="1" applyAlignment="1">
      <alignment horizontal="center" vertical="center"/>
    </xf>
    <xf numFmtId="166" fontId="13" fillId="0" borderId="1" xfId="1" applyNumberFormat="1" applyFont="1" applyFill="1" applyBorder="1" applyAlignment="1">
      <alignment horizontal="center" vertical="center"/>
    </xf>
    <xf numFmtId="166" fontId="69" fillId="6" borderId="9" xfId="1" applyNumberFormat="1" applyFont="1" applyFill="1" applyBorder="1" applyAlignment="1">
      <alignment horizontal="center" vertical="center"/>
    </xf>
    <xf numFmtId="165" fontId="13" fillId="0" borderId="2" xfId="1" applyNumberFormat="1" applyFont="1" applyFill="1" applyBorder="1" applyAlignment="1">
      <alignment horizontal="center" vertical="center"/>
    </xf>
    <xf numFmtId="43" fontId="13" fillId="0" borderId="2" xfId="1" applyNumberFormat="1" applyFont="1" applyFill="1" applyBorder="1" applyAlignment="1">
      <alignment horizontal="center" vertical="center"/>
    </xf>
    <xf numFmtId="43" fontId="13" fillId="6" borderId="1" xfId="1" applyNumberFormat="1" applyFont="1" applyFill="1" applyBorder="1" applyAlignment="1">
      <alignment horizontal="center" vertical="center"/>
    </xf>
    <xf numFmtId="14" fontId="13" fillId="6" borderId="6" xfId="0" applyNumberFormat="1" applyFont="1" applyFill="1" applyBorder="1" applyAlignment="1">
      <alignment horizontal="center" vertical="center"/>
    </xf>
    <xf numFmtId="166" fontId="13" fillId="6" borderId="37" xfId="1" applyNumberFormat="1" applyFont="1" applyFill="1" applyBorder="1" applyAlignment="1">
      <alignment horizontal="center" vertical="center"/>
    </xf>
    <xf numFmtId="9" fontId="13" fillId="6" borderId="40" xfId="2" applyFont="1" applyFill="1" applyBorder="1" applyAlignment="1">
      <alignment horizontal="center" vertical="center"/>
    </xf>
    <xf numFmtId="0" fontId="13" fillId="6" borderId="39" xfId="2" applyNumberFormat="1" applyFont="1" applyFill="1" applyBorder="1" applyAlignment="1">
      <alignment horizontal="center" vertical="center"/>
    </xf>
    <xf numFmtId="1" fontId="13" fillId="6" borderId="37" xfId="2" applyNumberFormat="1" applyFont="1" applyFill="1" applyBorder="1" applyAlignment="1">
      <alignment horizontal="center" vertical="center"/>
    </xf>
    <xf numFmtId="166" fontId="13" fillId="6" borderId="40" xfId="1" applyNumberFormat="1" applyFont="1" applyFill="1" applyBorder="1" applyAlignment="1">
      <alignment horizontal="center" vertical="center"/>
    </xf>
    <xf numFmtId="166" fontId="13" fillId="6" borderId="11" xfId="1" applyNumberFormat="1" applyFont="1" applyFill="1" applyBorder="1" applyAlignment="1">
      <alignment horizontal="center" vertical="center"/>
    </xf>
    <xf numFmtId="165" fontId="13" fillId="6" borderId="4" xfId="1" applyNumberFormat="1" applyFont="1" applyFill="1" applyBorder="1" applyAlignment="1">
      <alignment horizontal="center" vertical="center"/>
    </xf>
    <xf numFmtId="43" fontId="13" fillId="6" borderId="7" xfId="1" applyFont="1" applyFill="1" applyBorder="1" applyAlignment="1">
      <alignment horizontal="center" vertical="center"/>
    </xf>
    <xf numFmtId="166" fontId="13" fillId="6" borderId="2" xfId="1" applyNumberFormat="1" applyFont="1" applyFill="1" applyBorder="1" applyAlignment="1">
      <alignment horizontal="center" vertical="center"/>
    </xf>
    <xf numFmtId="166" fontId="13" fillId="6" borderId="1" xfId="1" applyNumberFormat="1" applyFont="1" applyFill="1" applyBorder="1" applyAlignment="1">
      <alignment horizontal="center" vertical="center"/>
    </xf>
    <xf numFmtId="43" fontId="0" fillId="6" borderId="0" xfId="0" applyNumberFormat="1" applyFill="1" applyAlignment="1">
      <alignment vertical="center"/>
    </xf>
    <xf numFmtId="10" fontId="31" fillId="0" borderId="29" xfId="2" applyNumberFormat="1" applyFont="1" applyFill="1" applyBorder="1" applyAlignment="1">
      <alignment horizontal="right" vertical="center"/>
    </xf>
    <xf numFmtId="14" fontId="13" fillId="8" borderId="6" xfId="0" applyNumberFormat="1" applyFont="1" applyFill="1" applyBorder="1" applyAlignment="1">
      <alignment horizontal="center" vertical="center"/>
    </xf>
    <xf numFmtId="166" fontId="13" fillId="8" borderId="37" xfId="1" applyNumberFormat="1" applyFont="1" applyFill="1" applyBorder="1" applyAlignment="1">
      <alignment horizontal="center" vertical="center"/>
    </xf>
    <xf numFmtId="9" fontId="13" fillId="8" borderId="40" xfId="2" applyFont="1" applyFill="1" applyBorder="1" applyAlignment="1">
      <alignment horizontal="center" vertical="center"/>
    </xf>
    <xf numFmtId="0" fontId="13" fillId="8" borderId="39" xfId="2" applyNumberFormat="1" applyFont="1" applyFill="1" applyBorder="1" applyAlignment="1">
      <alignment horizontal="center" vertical="center"/>
    </xf>
    <xf numFmtId="1" fontId="13" fillId="8" borderId="37" xfId="2" applyNumberFormat="1" applyFont="1" applyFill="1" applyBorder="1" applyAlignment="1">
      <alignment horizontal="center" vertical="center"/>
    </xf>
    <xf numFmtId="166" fontId="13" fillId="8" borderId="40" xfId="1" applyNumberFormat="1" applyFont="1" applyFill="1" applyBorder="1" applyAlignment="1">
      <alignment horizontal="center" vertical="center"/>
    </xf>
    <xf numFmtId="166" fontId="13" fillId="8" borderId="11" xfId="1" applyNumberFormat="1" applyFont="1" applyFill="1" applyBorder="1" applyAlignment="1">
      <alignment horizontal="center" vertical="center"/>
    </xf>
    <xf numFmtId="166" fontId="13" fillId="8" borderId="7" xfId="1" applyNumberFormat="1" applyFont="1" applyFill="1" applyBorder="1" applyAlignment="1">
      <alignment horizontal="center" vertical="center"/>
    </xf>
    <xf numFmtId="165" fontId="13" fillId="8" borderId="4" xfId="1" applyNumberFormat="1" applyFont="1" applyFill="1" applyBorder="1" applyAlignment="1">
      <alignment horizontal="center" vertical="center"/>
    </xf>
    <xf numFmtId="43" fontId="13" fillId="8" borderId="7" xfId="1" applyFont="1" applyFill="1" applyBorder="1" applyAlignment="1">
      <alignment horizontal="center" vertical="center"/>
    </xf>
    <xf numFmtId="43" fontId="13" fillId="8" borderId="40" xfId="1" applyFont="1" applyFill="1" applyBorder="1" applyAlignment="1">
      <alignment horizontal="center" vertical="center"/>
    </xf>
    <xf numFmtId="0" fontId="13" fillId="13" borderId="28" xfId="0" applyFont="1" applyFill="1" applyBorder="1" applyAlignment="1">
      <alignment horizontal="center" vertical="center"/>
    </xf>
    <xf numFmtId="0" fontId="13" fillId="13" borderId="1" xfId="0" applyFont="1" applyFill="1" applyBorder="1" applyAlignment="1">
      <alignment horizontal="center" vertical="center"/>
    </xf>
    <xf numFmtId="0" fontId="13" fillId="13" borderId="34" xfId="0" applyFont="1" applyFill="1" applyBorder="1" applyAlignment="1">
      <alignment horizontal="center" vertical="center"/>
    </xf>
    <xf numFmtId="0" fontId="13" fillId="8"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6" borderId="1" xfId="0" applyFont="1" applyFill="1" applyBorder="1" applyAlignment="1">
      <alignment horizontal="center" vertical="center"/>
    </xf>
    <xf numFmtId="0" fontId="0" fillId="0" borderId="0" xfId="0" applyFont="1"/>
    <xf numFmtId="43" fontId="0" fillId="0" borderId="0" xfId="1" applyFont="1" applyAlignment="1">
      <alignment horizontal="center" vertical="center"/>
    </xf>
    <xf numFmtId="167" fontId="80" fillId="6" borderId="8" xfId="6" applyNumberFormat="1" applyFont="1" applyFill="1" applyBorder="1" applyAlignment="1">
      <alignment horizontal="center" vertical="center"/>
    </xf>
    <xf numFmtId="43" fontId="56" fillId="0" borderId="1" xfId="1" applyNumberFormat="1" applyFont="1" applyFill="1" applyBorder="1" applyAlignment="1">
      <alignment horizontal="center" vertical="center"/>
    </xf>
    <xf numFmtId="43" fontId="32" fillId="0" borderId="2" xfId="1" applyNumberFormat="1" applyFont="1" applyFill="1" applyBorder="1" applyAlignment="1">
      <alignment horizontal="center" vertical="center"/>
    </xf>
    <xf numFmtId="43" fontId="32" fillId="0" borderId="1" xfId="1" applyNumberFormat="1" applyFont="1" applyFill="1" applyBorder="1" applyAlignment="1">
      <alignment horizontal="center" vertical="center"/>
    </xf>
    <xf numFmtId="43" fontId="13" fillId="0" borderId="13" xfId="1" applyNumberFormat="1" applyFont="1" applyFill="1" applyBorder="1" applyAlignment="1">
      <alignment horizontal="center" vertical="center"/>
    </xf>
    <xf numFmtId="43" fontId="13" fillId="0" borderId="38" xfId="1" applyNumberFormat="1" applyFont="1" applyFill="1" applyBorder="1" applyAlignment="1">
      <alignment horizontal="center" vertical="center"/>
    </xf>
    <xf numFmtId="43" fontId="13" fillId="0" borderId="21" xfId="1" applyNumberFormat="1" applyFont="1" applyFill="1" applyBorder="1" applyAlignment="1">
      <alignment horizontal="right" vertical="center"/>
    </xf>
    <xf numFmtId="0" fontId="13" fillId="0" borderId="34" xfId="0" applyFont="1" applyFill="1" applyBorder="1" applyAlignment="1">
      <alignment horizontal="center" vertical="center"/>
    </xf>
    <xf numFmtId="0" fontId="13" fillId="0" borderId="36" xfId="0" applyFont="1" applyFill="1" applyBorder="1" applyAlignment="1">
      <alignment horizontal="left" vertical="center" wrapText="1"/>
    </xf>
    <xf numFmtId="43" fontId="3" fillId="0" borderId="66" xfId="1" applyNumberFormat="1" applyFont="1" applyFill="1" applyBorder="1" applyAlignment="1">
      <alignment horizontal="center" vertical="center" wrapText="1" readingOrder="1"/>
    </xf>
    <xf numFmtId="0" fontId="56" fillId="0" borderId="28" xfId="0" applyFont="1" applyFill="1" applyBorder="1" applyAlignment="1">
      <alignment horizontal="center" vertical="center" wrapText="1"/>
    </xf>
    <xf numFmtId="0" fontId="13" fillId="0" borderId="1" xfId="0" applyFont="1" applyFill="1" applyBorder="1" applyAlignment="1">
      <alignment horizontal="left" vertical="center" wrapText="1"/>
    </xf>
    <xf numFmtId="43" fontId="3" fillId="0" borderId="83" xfId="1" applyNumberFormat="1" applyFont="1" applyFill="1" applyBorder="1" applyAlignment="1">
      <alignment horizontal="center" vertical="center" wrapText="1" readingOrder="1"/>
    </xf>
    <xf numFmtId="0" fontId="56" fillId="0" borderId="2" xfId="0" applyFont="1" applyFill="1" applyBorder="1" applyAlignment="1">
      <alignment horizontal="center" vertical="center" wrapText="1"/>
    </xf>
    <xf numFmtId="0" fontId="13" fillId="0" borderId="23" xfId="0" applyFont="1" applyFill="1" applyBorder="1" applyAlignment="1">
      <alignment vertical="center" wrapText="1"/>
    </xf>
    <xf numFmtId="43" fontId="3" fillId="0" borderId="84" xfId="1" applyNumberFormat="1" applyFont="1" applyFill="1" applyBorder="1" applyAlignment="1">
      <alignment horizontal="center" vertical="center" wrapText="1" readingOrder="1"/>
    </xf>
    <xf numFmtId="0" fontId="56" fillId="0" borderId="34" xfId="0" applyFont="1" applyFill="1" applyBorder="1" applyAlignment="1">
      <alignment horizontal="center" vertical="center" wrapText="1"/>
    </xf>
    <xf numFmtId="43" fontId="2" fillId="0" borderId="83" xfId="1" applyNumberFormat="1" applyFont="1" applyFill="1" applyBorder="1" applyAlignment="1">
      <alignment horizontal="center" vertical="center" wrapText="1" readingOrder="1"/>
    </xf>
    <xf numFmtId="0" fontId="56" fillId="0" borderId="2" xfId="1" applyNumberFormat="1" applyFont="1" applyFill="1" applyBorder="1" applyAlignment="1">
      <alignment horizontal="center" vertical="center"/>
    </xf>
    <xf numFmtId="43" fontId="2" fillId="0" borderId="84" xfId="1" applyNumberFormat="1" applyFont="1" applyFill="1" applyBorder="1" applyAlignment="1">
      <alignment horizontal="center" vertical="center" wrapText="1" readingOrder="1"/>
    </xf>
    <xf numFmtId="0" fontId="56" fillId="0" borderId="34" xfId="1" applyNumberFormat="1" applyFont="1" applyFill="1" applyBorder="1" applyAlignment="1">
      <alignment horizontal="center" vertical="center"/>
    </xf>
    <xf numFmtId="0" fontId="56" fillId="0" borderId="2" xfId="0" applyFont="1" applyFill="1" applyBorder="1" applyAlignment="1">
      <alignment horizontal="center" vertical="center"/>
    </xf>
    <xf numFmtId="0" fontId="13" fillId="0" borderId="23" xfId="0" applyFont="1" applyFill="1" applyBorder="1" applyAlignment="1">
      <alignment horizontal="left" vertical="center" wrapText="1"/>
    </xf>
    <xf numFmtId="0" fontId="56" fillId="0" borderId="34" xfId="0" applyFont="1" applyFill="1" applyBorder="1" applyAlignment="1">
      <alignment horizontal="center" vertical="center"/>
    </xf>
    <xf numFmtId="43" fontId="2" fillId="0" borderId="83" xfId="1" applyNumberFormat="1" applyFont="1" applyFill="1" applyBorder="1" applyAlignment="1">
      <alignment horizontal="center" vertical="center" readingOrder="1"/>
    </xf>
    <xf numFmtId="0" fontId="56" fillId="0" borderId="23" xfId="0" applyFont="1" applyFill="1" applyBorder="1" applyAlignment="1">
      <alignment horizontal="left" vertical="center" wrapText="1"/>
    </xf>
    <xf numFmtId="43" fontId="2" fillId="0" borderId="84" xfId="1" applyNumberFormat="1" applyFont="1" applyFill="1" applyBorder="1" applyAlignment="1">
      <alignment horizontal="center" vertical="center" readingOrder="1"/>
    </xf>
    <xf numFmtId="43" fontId="56" fillId="0" borderId="38" xfId="1" applyNumberFormat="1" applyFont="1" applyFill="1" applyBorder="1" applyAlignment="1">
      <alignment horizontal="center" vertical="center"/>
    </xf>
    <xf numFmtId="0" fontId="8" fillId="0" borderId="34" xfId="0" applyFont="1" applyFill="1" applyBorder="1"/>
    <xf numFmtId="0" fontId="8" fillId="0" borderId="0" xfId="0" applyFont="1" applyFill="1" applyBorder="1"/>
    <xf numFmtId="0" fontId="8" fillId="0" borderId="38" xfId="0" applyFont="1" applyFill="1" applyBorder="1" applyAlignment="1">
      <alignment horizontal="center" vertical="center"/>
    </xf>
    <xf numFmtId="0" fontId="9" fillId="0" borderId="29" xfId="1" applyNumberFormat="1" applyFont="1" applyFill="1" applyBorder="1" applyAlignment="1">
      <alignment horizontal="center" vertical="center"/>
    </xf>
    <xf numFmtId="0" fontId="9" fillId="0" borderId="26" xfId="0" applyFont="1" applyFill="1" applyBorder="1" applyAlignment="1">
      <alignment horizontal="center" vertical="center" wrapText="1"/>
    </xf>
    <xf numFmtId="43" fontId="30" fillId="0" borderId="29" xfId="1" applyFont="1" applyFill="1" applyBorder="1" applyAlignment="1">
      <alignment vertical="center"/>
    </xf>
    <xf numFmtId="43" fontId="30" fillId="0" borderId="26" xfId="1" applyFont="1" applyFill="1" applyBorder="1" applyAlignment="1">
      <alignment horizontal="right" vertical="center"/>
    </xf>
    <xf numFmtId="43" fontId="30" fillId="0" borderId="29" xfId="1" applyFont="1" applyFill="1" applyBorder="1" applyAlignment="1">
      <alignment horizontal="left" vertical="center"/>
    </xf>
    <xf numFmtId="10" fontId="31" fillId="0" borderId="26" xfId="2" applyNumberFormat="1" applyFont="1" applyFill="1" applyBorder="1" applyAlignment="1">
      <alignment horizontal="center" vertical="center"/>
    </xf>
    <xf numFmtId="170" fontId="30" fillId="0" borderId="29" xfId="1" applyNumberFormat="1" applyFont="1" applyFill="1" applyBorder="1" applyAlignment="1">
      <alignment horizontal="right" vertical="center"/>
    </xf>
    <xf numFmtId="172" fontId="30" fillId="0" borderId="26" xfId="1" applyNumberFormat="1" applyFont="1" applyFill="1" applyBorder="1" applyAlignment="1">
      <alignment horizontal="right" vertical="center"/>
    </xf>
    <xf numFmtId="0" fontId="26" fillId="0" borderId="5" xfId="1" applyNumberFormat="1" applyFont="1" applyFill="1" applyBorder="1" applyAlignment="1">
      <alignment vertical="center"/>
    </xf>
    <xf numFmtId="0" fontId="26" fillId="0" borderId="82" xfId="1" applyNumberFormat="1" applyFont="1" applyFill="1" applyBorder="1" applyAlignment="1">
      <alignment vertical="center" wrapText="1"/>
    </xf>
    <xf numFmtId="43" fontId="30" fillId="0" borderId="79" xfId="1" applyFont="1" applyFill="1" applyBorder="1" applyAlignment="1">
      <alignment horizontal="left" vertical="center"/>
    </xf>
    <xf numFmtId="43" fontId="30" fillId="0" borderId="80" xfId="1" applyFont="1" applyFill="1" applyBorder="1" applyAlignment="1">
      <alignment horizontal="right" vertical="center"/>
    </xf>
    <xf numFmtId="0" fontId="8" fillId="0" borderId="0" xfId="0" applyFont="1" applyFill="1" applyAlignment="1"/>
    <xf numFmtId="0" fontId="8" fillId="0" borderId="0" xfId="0" applyFont="1" applyAlignment="1">
      <alignment horizontal="center" vertical="center" readingOrder="1"/>
    </xf>
    <xf numFmtId="43" fontId="8" fillId="0" borderId="0" xfId="1" applyFont="1" applyAlignment="1"/>
    <xf numFmtId="0" fontId="8" fillId="0" borderId="0" xfId="0" applyFont="1" applyFill="1" applyBorder="1" applyAlignment="1"/>
    <xf numFmtId="43" fontId="8" fillId="0" borderId="0" xfId="1" applyNumberFormat="1" applyFont="1" applyAlignment="1"/>
    <xf numFmtId="165" fontId="8" fillId="0" borderId="0" xfId="0" applyNumberFormat="1" applyFont="1" applyAlignment="1"/>
    <xf numFmtId="0" fontId="51" fillId="0" borderId="0" xfId="0" applyFont="1" applyAlignment="1">
      <alignment horizontal="left" vertical="center" wrapText="1"/>
    </xf>
    <xf numFmtId="0" fontId="83" fillId="0" borderId="0" xfId="0" applyFont="1" applyAlignment="1">
      <alignment horizontal="center"/>
    </xf>
    <xf numFmtId="0" fontId="84" fillId="0" borderId="0" xfId="0" applyFont="1" applyAlignment="1">
      <alignment horizontal="center"/>
    </xf>
    <xf numFmtId="0" fontId="85" fillId="0" borderId="0" xfId="0" applyFont="1" applyFill="1" applyBorder="1" applyAlignment="1">
      <alignment horizontal="center" wrapText="1" readingOrder="1"/>
    </xf>
    <xf numFmtId="165" fontId="13" fillId="0" borderId="0" xfId="1" applyNumberFormat="1" applyFont="1" applyFill="1" applyBorder="1" applyAlignment="1">
      <alignment vertical="center" readingOrder="1"/>
    </xf>
    <xf numFmtId="166" fontId="31" fillId="0" borderId="0" xfId="1" applyNumberFormat="1" applyFont="1" applyFill="1" applyBorder="1" applyAlignment="1">
      <alignment vertical="center" readingOrder="1"/>
    </xf>
    <xf numFmtId="0" fontId="13" fillId="0" borderId="9" xfId="0" applyNumberFormat="1" applyFont="1" applyFill="1" applyBorder="1" applyAlignment="1">
      <alignment horizontal="center" vertical="center"/>
    </xf>
    <xf numFmtId="166" fontId="30" fillId="0" borderId="0" xfId="1" applyNumberFormat="1" applyFont="1" applyFill="1" applyBorder="1" applyAlignment="1">
      <alignment vertical="center" readingOrder="1"/>
    </xf>
    <xf numFmtId="166" fontId="30" fillId="0" borderId="22" xfId="1" applyNumberFormat="1" applyFont="1" applyFill="1" applyBorder="1" applyAlignment="1">
      <alignment vertical="center" readingOrder="1"/>
    </xf>
    <xf numFmtId="0" fontId="34" fillId="0" borderId="29" xfId="0" applyFont="1" applyFill="1" applyBorder="1" applyAlignment="1">
      <alignment horizontal="left" vertical="center" wrapText="1" readingOrder="1"/>
    </xf>
    <xf numFmtId="0" fontId="34" fillId="0" borderId="29" xfId="0" applyFont="1" applyFill="1" applyBorder="1" applyAlignment="1">
      <alignment horizontal="center" vertical="center" wrapText="1" readingOrder="1"/>
    </xf>
    <xf numFmtId="165" fontId="34" fillId="0" borderId="29" xfId="1" applyNumberFormat="1" applyFont="1" applyFill="1" applyBorder="1" applyAlignment="1">
      <alignment horizontal="center" vertical="center" wrapText="1" readingOrder="1"/>
    </xf>
    <xf numFmtId="0" fontId="34" fillId="0" borderId="29" xfId="1" applyNumberFormat="1" applyFont="1" applyFill="1" applyBorder="1" applyAlignment="1">
      <alignment vertical="center" wrapText="1" readingOrder="1"/>
    </xf>
    <xf numFmtId="165" fontId="69" fillId="0" borderId="29" xfId="1" applyNumberFormat="1" applyFont="1" applyFill="1" applyBorder="1" applyAlignment="1">
      <alignment horizontal="right" vertical="center" wrapText="1" readingOrder="1"/>
    </xf>
    <xf numFmtId="43" fontId="34" fillId="0" borderId="60" xfId="1" applyFont="1" applyFill="1" applyBorder="1" applyAlignment="1">
      <alignment horizontal="center" vertical="center" wrapText="1" readingOrder="1"/>
    </xf>
    <xf numFmtId="165" fontId="34" fillId="0" borderId="60" xfId="1" applyNumberFormat="1" applyFont="1" applyFill="1" applyBorder="1" applyAlignment="1">
      <alignment vertical="center" wrapText="1" readingOrder="1"/>
    </xf>
    <xf numFmtId="165" fontId="13" fillId="0" borderId="29" xfId="1" applyNumberFormat="1" applyFont="1" applyFill="1" applyBorder="1" applyAlignment="1">
      <alignment horizontal="center" vertical="center" wrapText="1" readingOrder="1"/>
    </xf>
    <xf numFmtId="2" fontId="13" fillId="0" borderId="29" xfId="0" applyNumberFormat="1" applyFont="1" applyFill="1" applyBorder="1" applyAlignment="1">
      <alignment horizontal="center" vertical="center"/>
    </xf>
    <xf numFmtId="0" fontId="13" fillId="0" borderId="29" xfId="0" applyFont="1" applyFill="1" applyBorder="1" applyAlignment="1">
      <alignment horizontal="left" vertical="center" wrapText="1"/>
    </xf>
    <xf numFmtId="167" fontId="13" fillId="0" borderId="29" xfId="1" applyNumberFormat="1" applyFont="1" applyFill="1" applyBorder="1" applyAlignment="1">
      <alignment horizontal="center" vertical="center" readingOrder="1"/>
    </xf>
    <xf numFmtId="0" fontId="13" fillId="0" borderId="29" xfId="1" applyNumberFormat="1" applyFont="1" applyFill="1" applyBorder="1" applyAlignment="1">
      <alignment horizontal="center" vertical="center"/>
    </xf>
    <xf numFmtId="167" fontId="13" fillId="0" borderId="29" xfId="1" applyNumberFormat="1" applyFont="1" applyFill="1" applyBorder="1" applyAlignment="1">
      <alignment horizontal="center" vertical="center"/>
    </xf>
    <xf numFmtId="0" fontId="13" fillId="0" borderId="29" xfId="0" applyFont="1" applyFill="1" applyBorder="1" applyAlignment="1">
      <alignment horizontal="center" vertical="center" wrapText="1"/>
    </xf>
    <xf numFmtId="165" fontId="13" fillId="0" borderId="29" xfId="1" applyNumberFormat="1" applyFont="1" applyFill="1" applyBorder="1" applyAlignment="1">
      <alignment horizontal="center" vertical="center" readingOrder="1"/>
    </xf>
    <xf numFmtId="0" fontId="13" fillId="0" borderId="29" xfId="1" applyNumberFormat="1" applyFont="1" applyFill="1" applyBorder="1" applyAlignment="1">
      <alignment vertical="center" readingOrder="1"/>
    </xf>
    <xf numFmtId="4" fontId="13" fillId="0" borderId="29" xfId="0" applyNumberFormat="1" applyFont="1" applyFill="1" applyBorder="1" applyAlignment="1">
      <alignment horizontal="center" vertical="center" wrapText="1"/>
    </xf>
    <xf numFmtId="9" fontId="13" fillId="0" borderId="29" xfId="2" applyFont="1" applyFill="1" applyBorder="1" applyAlignment="1">
      <alignment horizontal="center" vertical="center" wrapText="1"/>
    </xf>
    <xf numFmtId="167" fontId="13" fillId="0" borderId="29" xfId="1" applyNumberFormat="1" applyFont="1" applyFill="1" applyBorder="1" applyAlignment="1">
      <alignment vertical="center"/>
    </xf>
    <xf numFmtId="0" fontId="34" fillId="0" borderId="29" xfId="1" applyNumberFormat="1" applyFont="1" applyFill="1" applyBorder="1" applyAlignment="1">
      <alignment horizontal="center" vertical="center" wrapText="1" readingOrder="1"/>
    </xf>
    <xf numFmtId="0" fontId="13" fillId="0" borderId="29" xfId="1" applyNumberFormat="1" applyFont="1" applyFill="1" applyBorder="1" applyAlignment="1">
      <alignment vertical="center" wrapText="1" readingOrder="1"/>
    </xf>
    <xf numFmtId="0" fontId="34" fillId="0" borderId="60" xfId="1" applyNumberFormat="1" applyFont="1" applyFill="1" applyBorder="1" applyAlignment="1">
      <alignment vertical="center" wrapText="1" readingOrder="1"/>
    </xf>
    <xf numFmtId="0" fontId="13" fillId="0" borderId="0" xfId="0" applyFont="1" applyFill="1" applyBorder="1" applyAlignment="1">
      <alignment horizontal="center" vertical="center" wrapText="1"/>
    </xf>
    <xf numFmtId="167" fontId="13" fillId="0" borderId="0" xfId="1" applyNumberFormat="1" applyFont="1" applyFill="1" applyBorder="1" applyAlignment="1">
      <alignment horizontal="center" vertical="center"/>
    </xf>
    <xf numFmtId="0" fontId="13" fillId="0" borderId="0" xfId="1" applyNumberFormat="1" applyFont="1" applyFill="1" applyBorder="1" applyAlignment="1">
      <alignment horizontal="center" vertical="center"/>
    </xf>
    <xf numFmtId="9" fontId="13" fillId="0" borderId="0" xfId="2" applyFont="1" applyFill="1" applyBorder="1" applyAlignment="1">
      <alignment horizontal="center" vertical="center" wrapText="1"/>
    </xf>
    <xf numFmtId="0" fontId="13" fillId="0" borderId="0" xfId="0" applyFont="1" applyFill="1" applyAlignment="1"/>
    <xf numFmtId="180" fontId="30" fillId="0" borderId="0" xfId="2" applyNumberFormat="1" applyFont="1" applyFill="1" applyBorder="1" applyAlignment="1">
      <alignment vertical="center" readingOrder="1"/>
    </xf>
    <xf numFmtId="10" fontId="30" fillId="0" borderId="9" xfId="2" applyNumberFormat="1" applyFont="1" applyFill="1" applyBorder="1" applyAlignment="1">
      <alignment vertical="center" readingOrder="1"/>
    </xf>
    <xf numFmtId="0" fontId="69" fillId="0" borderId="29" xfId="0" applyFont="1" applyFill="1" applyBorder="1" applyAlignment="1">
      <alignment horizontal="center" vertical="center" wrapText="1" readingOrder="1"/>
    </xf>
    <xf numFmtId="0" fontId="34" fillId="0" borderId="60" xfId="0" applyFont="1" applyFill="1" applyBorder="1" applyAlignment="1">
      <alignment horizontal="center" vertical="center" wrapText="1" readingOrder="1"/>
    </xf>
    <xf numFmtId="43" fontId="34" fillId="0" borderId="29" xfId="1" applyNumberFormat="1" applyFont="1" applyFill="1" applyBorder="1" applyAlignment="1">
      <alignment horizontal="center" vertical="center" wrapText="1" readingOrder="1"/>
    </xf>
    <xf numFmtId="0" fontId="13" fillId="0" borderId="29" xfId="0" applyFont="1" applyFill="1" applyBorder="1" applyAlignment="1">
      <alignment horizontal="center" vertical="center"/>
    </xf>
    <xf numFmtId="43" fontId="34" fillId="0" borderId="29" xfId="1" applyNumberFormat="1" applyFont="1" applyFill="1" applyBorder="1" applyAlignment="1">
      <alignment vertical="center" wrapText="1" readingOrder="1"/>
    </xf>
    <xf numFmtId="165" fontId="13" fillId="0" borderId="29" xfId="1" applyNumberFormat="1" applyFont="1" applyFill="1" applyBorder="1" applyAlignment="1">
      <alignment vertical="center" readingOrder="1"/>
    </xf>
    <xf numFmtId="165" fontId="13" fillId="0" borderId="60" xfId="1" applyNumberFormat="1" applyFont="1" applyFill="1" applyBorder="1" applyAlignment="1">
      <alignment vertical="center" readingOrder="1"/>
    </xf>
    <xf numFmtId="43" fontId="13" fillId="0" borderId="29" xfId="1" applyNumberFormat="1" applyFont="1" applyFill="1" applyBorder="1" applyAlignment="1">
      <alignment vertical="center" readingOrder="1"/>
    </xf>
    <xf numFmtId="166" fontId="86" fillId="0" borderId="29" xfId="1" applyNumberFormat="1" applyFont="1" applyFill="1" applyBorder="1" applyAlignment="1">
      <alignment vertical="center" readingOrder="1"/>
    </xf>
    <xf numFmtId="180" fontId="30" fillId="0" borderId="29" xfId="2" applyNumberFormat="1" applyFont="1" applyFill="1" applyBorder="1" applyAlignment="1">
      <alignment vertical="center" readingOrder="1"/>
    </xf>
    <xf numFmtId="166" fontId="30" fillId="0" borderId="29" xfId="1" applyNumberFormat="1" applyFont="1" applyFill="1" applyBorder="1" applyAlignment="1">
      <alignment vertical="center" readingOrder="1"/>
    </xf>
    <xf numFmtId="0" fontId="83" fillId="0" borderId="0" xfId="0" applyFont="1" applyAlignment="1">
      <alignment horizontal="center"/>
    </xf>
    <xf numFmtId="0" fontId="84" fillId="0" borderId="0" xfId="0" applyFont="1" applyAlignment="1">
      <alignment horizontal="center"/>
    </xf>
    <xf numFmtId="0" fontId="34" fillId="0" borderId="0" xfId="0" applyFont="1" applyFill="1" applyBorder="1" applyAlignment="1">
      <alignment horizontal="right" vertical="center" wrapText="1" readingOrder="1"/>
    </xf>
    <xf numFmtId="165" fontId="30" fillId="0" borderId="11" xfId="2" applyNumberFormat="1" applyFont="1" applyFill="1" applyBorder="1" applyAlignment="1">
      <alignment horizontal="center" vertical="center" readingOrder="1"/>
    </xf>
    <xf numFmtId="165" fontId="30" fillId="0" borderId="61" xfId="2" applyNumberFormat="1" applyFont="1" applyFill="1" applyBorder="1" applyAlignment="1">
      <alignment horizontal="center" vertical="center" readingOrder="1"/>
    </xf>
    <xf numFmtId="43" fontId="30" fillId="0" borderId="0" xfId="2" applyNumberFormat="1" applyFont="1" applyFill="1" applyBorder="1" applyAlignment="1">
      <alignment horizontal="center" vertical="center" readingOrder="1"/>
    </xf>
    <xf numFmtId="43" fontId="30" fillId="0" borderId="84" xfId="2" applyNumberFormat="1" applyFont="1" applyFill="1" applyBorder="1" applyAlignment="1">
      <alignment horizontal="center" vertical="center" readingOrder="1"/>
    </xf>
    <xf numFmtId="43" fontId="30" fillId="0" borderId="22" xfId="2" applyNumberFormat="1" applyFont="1" applyFill="1" applyBorder="1" applyAlignment="1">
      <alignment horizontal="center" vertical="center" readingOrder="1"/>
    </xf>
    <xf numFmtId="43" fontId="30" fillId="0" borderId="70" xfId="2" applyNumberFormat="1" applyFont="1" applyFill="1" applyBorder="1" applyAlignment="1">
      <alignment horizontal="center" vertical="center" readingOrder="1"/>
    </xf>
    <xf numFmtId="0" fontId="85" fillId="0" borderId="0" xfId="0" applyFont="1" applyFill="1" applyBorder="1" applyAlignment="1">
      <alignment horizontal="center" wrapText="1" readingOrder="1"/>
    </xf>
    <xf numFmtId="0" fontId="0" fillId="0" borderId="0" xfId="0" applyAlignment="1">
      <alignment horizontal="center" wrapText="1" readingOrder="1"/>
    </xf>
    <xf numFmtId="0" fontId="51" fillId="0" borderId="0" xfId="0" applyFont="1" applyAlignment="1">
      <alignment horizontal="left" vertical="center" wrapText="1"/>
    </xf>
    <xf numFmtId="0" fontId="13" fillId="0" borderId="60"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30" fillId="0" borderId="85" xfId="0" applyFont="1" applyFill="1" applyBorder="1" applyAlignment="1">
      <alignment horizontal="center" vertical="center" readingOrder="1"/>
    </xf>
    <xf numFmtId="0" fontId="30" fillId="0" borderId="41" xfId="0" applyFont="1" applyFill="1" applyBorder="1" applyAlignment="1">
      <alignment horizontal="center" vertical="center" readingOrder="1"/>
    </xf>
    <xf numFmtId="0" fontId="30" fillId="0" borderId="60" xfId="0" applyFont="1" applyFill="1" applyBorder="1" applyAlignment="1">
      <alignment horizontal="center" vertical="center" readingOrder="1"/>
    </xf>
    <xf numFmtId="0" fontId="30" fillId="0" borderId="11" xfId="0" applyFont="1" applyFill="1" applyBorder="1" applyAlignment="1">
      <alignment horizontal="center" vertical="center" readingOrder="1"/>
    </xf>
    <xf numFmtId="0" fontId="30" fillId="0" borderId="61" xfId="0" applyFont="1" applyFill="1" applyBorder="1" applyAlignment="1">
      <alignment horizontal="center" vertical="center" readingOrder="1"/>
    </xf>
    <xf numFmtId="0" fontId="30" fillId="0" borderId="73"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60" xfId="0" applyFont="1" applyFill="1" applyBorder="1" applyAlignment="1">
      <alignment horizontal="center" vertical="center" wrapText="1" readingOrder="1"/>
    </xf>
    <xf numFmtId="0" fontId="30" fillId="0" borderId="61" xfId="0" applyFont="1" applyFill="1" applyBorder="1" applyAlignment="1">
      <alignment horizontal="center" vertical="center" wrapText="1" readingOrder="1"/>
    </xf>
    <xf numFmtId="166" fontId="30" fillId="0" borderId="72" xfId="1" applyNumberFormat="1" applyFont="1" applyFill="1" applyBorder="1" applyAlignment="1">
      <alignment horizontal="center" vertical="center" readingOrder="1"/>
    </xf>
    <xf numFmtId="166" fontId="30" fillId="0" borderId="84" xfId="1" applyNumberFormat="1" applyFont="1" applyFill="1" applyBorder="1" applyAlignment="1">
      <alignment horizontal="center" vertical="center" readingOrder="1"/>
    </xf>
    <xf numFmtId="166" fontId="30" fillId="0" borderId="63" xfId="1" applyNumberFormat="1" applyFont="1" applyFill="1" applyBorder="1" applyAlignment="1">
      <alignment horizontal="center" vertical="center" readingOrder="1"/>
    </xf>
    <xf numFmtId="166" fontId="30" fillId="0" borderId="70" xfId="1" applyNumberFormat="1" applyFont="1" applyFill="1" applyBorder="1" applyAlignment="1">
      <alignment horizontal="center" vertical="center" readingOrder="1"/>
    </xf>
    <xf numFmtId="43" fontId="30" fillId="0" borderId="79" xfId="1" applyFont="1" applyFill="1" applyBorder="1" applyAlignment="1">
      <alignment horizontal="center" vertical="center"/>
    </xf>
    <xf numFmtId="0" fontId="30" fillId="0" borderId="81" xfId="1" applyNumberFormat="1" applyFont="1" applyFill="1" applyBorder="1" applyAlignment="1">
      <alignment horizontal="left" vertical="center"/>
    </xf>
    <xf numFmtId="0" fontId="30" fillId="0" borderId="29" xfId="1" applyNumberFormat="1" applyFont="1" applyFill="1" applyBorder="1" applyAlignment="1">
      <alignment horizontal="left" vertical="center"/>
    </xf>
    <xf numFmtId="43" fontId="30" fillId="0" borderId="60" xfId="1" applyFont="1" applyFill="1" applyBorder="1" applyAlignment="1">
      <alignment horizontal="center" vertical="center"/>
    </xf>
    <xf numFmtId="43" fontId="30" fillId="0" borderId="61" xfId="1" applyFont="1" applyFill="1" applyBorder="1" applyAlignment="1">
      <alignment horizontal="center" vertical="center"/>
    </xf>
    <xf numFmtId="10" fontId="27" fillId="0" borderId="81" xfId="2" applyNumberFormat="1" applyFont="1" applyFill="1" applyBorder="1" applyAlignment="1">
      <alignment horizontal="left" vertical="center"/>
    </xf>
    <xf numFmtId="10" fontId="27" fillId="0" borderId="29" xfId="2" applyNumberFormat="1" applyFont="1" applyFill="1" applyBorder="1" applyAlignment="1">
      <alignment horizontal="left" vertical="center"/>
    </xf>
    <xf numFmtId="10" fontId="31" fillId="0" borderId="29" xfId="2" applyNumberFormat="1" applyFont="1" applyFill="1" applyBorder="1" applyAlignment="1">
      <alignment horizontal="right" vertical="center"/>
    </xf>
    <xf numFmtId="2" fontId="30" fillId="0" borderId="81" xfId="1" applyNumberFormat="1" applyFont="1" applyFill="1" applyBorder="1" applyAlignment="1">
      <alignment horizontal="left" vertical="center"/>
    </xf>
    <xf numFmtId="2" fontId="30" fillId="0" borderId="29" xfId="1" applyNumberFormat="1" applyFont="1" applyFill="1" applyBorder="1" applyAlignment="1">
      <alignment horizontal="left" vertical="center"/>
    </xf>
    <xf numFmtId="172" fontId="31" fillId="0" borderId="29" xfId="1" applyNumberFormat="1" applyFont="1" applyFill="1" applyBorder="1" applyAlignment="1">
      <alignment horizontal="center" vertical="center"/>
    </xf>
    <xf numFmtId="0" fontId="13" fillId="7" borderId="61"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9" fillId="0" borderId="81" xfId="0" applyFont="1" applyFill="1" applyBorder="1" applyAlignment="1">
      <alignment horizontal="center" vertical="center" wrapText="1"/>
    </xf>
    <xf numFmtId="0" fontId="9" fillId="0" borderId="29" xfId="0" applyFont="1" applyFill="1" applyBorder="1" applyAlignment="1">
      <alignment horizontal="center" vertical="center" wrapText="1"/>
    </xf>
    <xf numFmtId="14" fontId="9" fillId="0" borderId="29" xfId="1" applyNumberFormat="1" applyFont="1" applyFill="1" applyBorder="1" applyAlignment="1">
      <alignment horizontal="right" vertical="center"/>
    </xf>
    <xf numFmtId="0" fontId="9" fillId="0" borderId="29" xfId="1" applyNumberFormat="1" applyFont="1" applyFill="1" applyBorder="1" applyAlignment="1">
      <alignment horizontal="right" vertical="center"/>
    </xf>
    <xf numFmtId="165" fontId="31" fillId="0" borderId="60" xfId="1" applyNumberFormat="1" applyFont="1" applyFill="1" applyBorder="1" applyAlignment="1">
      <alignment horizontal="center" vertical="center"/>
    </xf>
    <xf numFmtId="165" fontId="31" fillId="0" borderId="61" xfId="1" applyNumberFormat="1" applyFont="1" applyFill="1" applyBorder="1" applyAlignment="1">
      <alignment horizontal="center" vertical="center"/>
    </xf>
    <xf numFmtId="0" fontId="21" fillId="0" borderId="28"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9" fillId="0" borderId="34" xfId="0" applyFont="1" applyFill="1" applyBorder="1" applyAlignment="1">
      <alignment horizontal="right" vertical="center" wrapText="1"/>
    </xf>
    <xf numFmtId="0" fontId="29" fillId="0" borderId="0" xfId="0" applyFont="1" applyFill="1" applyBorder="1" applyAlignment="1">
      <alignment horizontal="right" vertical="center" wrapText="1"/>
    </xf>
    <xf numFmtId="0" fontId="29" fillId="0" borderId="38" xfId="0" applyFont="1" applyFill="1" applyBorder="1" applyAlignment="1">
      <alignment horizontal="right" vertical="center" wrapText="1"/>
    </xf>
    <xf numFmtId="0" fontId="13" fillId="0" borderId="28"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56" fillId="0" borderId="2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6" fillId="2" borderId="20"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9"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6" fillId="2" borderId="18" xfId="0" applyFont="1" applyFill="1" applyBorder="1" applyAlignment="1">
      <alignment horizontal="center" vertical="center" wrapText="1" readingOrder="1"/>
    </xf>
    <xf numFmtId="0" fontId="5" fillId="2" borderId="0" xfId="0" applyFont="1" applyFill="1" applyBorder="1" applyAlignment="1">
      <alignment horizontal="center" vertical="center" wrapText="1" readingOrder="1"/>
    </xf>
    <xf numFmtId="0" fontId="6" fillId="2" borderId="22" xfId="0" applyFont="1" applyFill="1" applyBorder="1" applyAlignment="1">
      <alignment horizontal="right" vertical="center" wrapText="1" readingOrder="1"/>
    </xf>
    <xf numFmtId="0" fontId="6" fillId="2" borderId="21"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27"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26" fillId="0" borderId="0" xfId="0" applyFont="1" applyBorder="1" applyAlignment="1">
      <alignment horizontal="center" vertical="center"/>
    </xf>
    <xf numFmtId="0" fontId="9" fillId="0" borderId="0" xfId="0" applyFont="1" applyBorder="1" applyAlignment="1">
      <alignment horizontal="right" vertical="center" wrapText="1"/>
    </xf>
    <xf numFmtId="0" fontId="19" fillId="0" borderId="0" xfId="0" applyFont="1" applyAlignment="1">
      <alignment horizontal="left" vertical="center"/>
    </xf>
    <xf numFmtId="0" fontId="23" fillId="0" borderId="22" xfId="0" applyFont="1" applyBorder="1" applyAlignment="1">
      <alignment horizont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4" xfId="0" applyFont="1" applyBorder="1" applyAlignment="1">
      <alignment horizontal="center" vertical="center" wrapText="1"/>
    </xf>
    <xf numFmtId="0" fontId="25" fillId="5" borderId="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9" fillId="10" borderId="28"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14" fontId="13" fillId="0" borderId="2" xfId="0" applyNumberFormat="1" applyFont="1" applyFill="1" applyBorder="1" applyAlignment="1">
      <alignment horizontal="center" vertical="center" wrapText="1"/>
    </xf>
    <xf numFmtId="14" fontId="13" fillId="0" borderId="13" xfId="0" applyNumberFormat="1" applyFont="1" applyFill="1" applyBorder="1" applyAlignment="1">
      <alignment horizontal="center" vertical="center" wrapText="1"/>
    </xf>
    <xf numFmtId="1" fontId="13" fillId="0" borderId="5" xfId="2" applyNumberFormat="1" applyFont="1" applyFill="1" applyBorder="1" applyAlignment="1">
      <alignment horizontal="center" vertical="center"/>
    </xf>
    <xf numFmtId="1" fontId="13" fillId="0" borderId="16" xfId="2" applyNumberFormat="1" applyFont="1" applyFill="1" applyBorder="1" applyAlignment="1">
      <alignment horizontal="center" vertical="center"/>
    </xf>
    <xf numFmtId="0" fontId="21" fillId="0" borderId="0" xfId="0" applyFont="1" applyFill="1" applyAlignment="1">
      <alignment horizontal="center" wrapText="1"/>
    </xf>
    <xf numFmtId="0" fontId="21" fillId="0" borderId="0" xfId="0" applyFont="1" applyFill="1" applyAlignment="1">
      <alignment horizontal="center" vertical="top" wrapText="1"/>
    </xf>
    <xf numFmtId="1" fontId="13" fillId="0" borderId="2" xfId="2" applyNumberFormat="1" applyFont="1" applyFill="1" applyBorder="1" applyAlignment="1">
      <alignment horizontal="center" vertical="center"/>
    </xf>
    <xf numFmtId="1" fontId="13" fillId="0" borderId="13" xfId="2" applyNumberFormat="1" applyFont="1" applyFill="1" applyBorder="1" applyAlignment="1">
      <alignment horizontal="center" vertical="center"/>
    </xf>
    <xf numFmtId="1" fontId="13" fillId="0" borderId="18" xfId="2" applyNumberFormat="1" applyFont="1" applyFill="1" applyBorder="1" applyAlignment="1">
      <alignment horizontal="center" vertical="center"/>
    </xf>
    <xf numFmtId="1" fontId="13" fillId="0" borderId="24" xfId="2" applyNumberFormat="1" applyFont="1" applyFill="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Fill="1" applyAlignment="1">
      <alignment horizontal="center" vertical="center" wrapText="1"/>
    </xf>
    <xf numFmtId="0" fontId="21" fillId="0" borderId="0" xfId="0" applyFont="1" applyAlignment="1">
      <alignment horizontal="center" vertical="center" wrapText="1"/>
    </xf>
    <xf numFmtId="0" fontId="9" fillId="0" borderId="0" xfId="0" applyFont="1" applyFill="1" applyBorder="1" applyAlignment="1">
      <alignment horizontal="right"/>
    </xf>
    <xf numFmtId="0" fontId="9" fillId="0" borderId="22" xfId="0" applyFont="1" applyFill="1" applyBorder="1" applyAlignment="1">
      <alignment horizontal="right"/>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3" xfId="0" applyFont="1" applyFill="1" applyBorder="1" applyAlignment="1">
      <alignment horizontal="center" vertical="center"/>
    </xf>
    <xf numFmtId="43" fontId="13" fillId="0" borderId="2" xfId="1" applyFont="1" applyFill="1" applyBorder="1" applyAlignment="1">
      <alignment horizontal="center" vertical="center"/>
    </xf>
    <xf numFmtId="43" fontId="13" fillId="0" borderId="13" xfId="1" applyFont="1" applyFill="1" applyBorder="1" applyAlignment="1">
      <alignment horizontal="center" vertical="center"/>
    </xf>
    <xf numFmtId="14" fontId="13" fillId="0" borderId="28" xfId="0" applyNumberFormat="1" applyFont="1" applyFill="1" applyBorder="1" applyAlignment="1">
      <alignment horizontal="center" vertical="center"/>
    </xf>
    <xf numFmtId="14" fontId="13" fillId="0" borderId="21" xfId="0" applyNumberFormat="1"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13" xfId="0" applyNumberFormat="1" applyFont="1" applyFill="1" applyBorder="1" applyAlignment="1">
      <alignment horizontal="center" vertical="center"/>
    </xf>
    <xf numFmtId="14" fontId="13" fillId="0" borderId="34" xfId="0" applyNumberFormat="1" applyFont="1" applyFill="1" applyBorder="1" applyAlignment="1">
      <alignment horizontal="center" vertical="center"/>
    </xf>
    <xf numFmtId="14" fontId="13" fillId="0" borderId="38"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1" fontId="13" fillId="0" borderId="28" xfId="2" applyNumberFormat="1" applyFont="1" applyFill="1" applyBorder="1" applyAlignment="1">
      <alignment horizontal="center" vertical="center"/>
    </xf>
    <xf numFmtId="1" fontId="13" fillId="0" borderId="21" xfId="2"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3" xfId="0" applyFont="1" applyFill="1" applyBorder="1" applyAlignment="1">
      <alignment horizontal="center" vertical="center"/>
    </xf>
    <xf numFmtId="0" fontId="26" fillId="0" borderId="0" xfId="0" applyFont="1" applyBorder="1" applyAlignment="1">
      <alignment horizontal="right" vertical="center" wrapText="1"/>
    </xf>
    <xf numFmtId="0" fontId="26" fillId="0" borderId="22" xfId="0" applyFont="1" applyBorder="1" applyAlignment="1">
      <alignment horizontal="right" vertical="center" wrapText="1"/>
    </xf>
    <xf numFmtId="165" fontId="75" fillId="0" borderId="20" xfId="1" applyNumberFormat="1" applyFont="1" applyBorder="1" applyAlignment="1">
      <alignment vertical="center"/>
    </xf>
    <xf numFmtId="165" fontId="75" fillId="0" borderId="19" xfId="1" applyNumberFormat="1" applyFont="1" applyBorder="1" applyAlignment="1">
      <alignment vertical="center"/>
    </xf>
    <xf numFmtId="0" fontId="5" fillId="2" borderId="0" xfId="0" applyFont="1" applyFill="1" applyBorder="1" applyAlignment="1">
      <alignment horizontal="center" wrapText="1" readingOrder="1"/>
    </xf>
    <xf numFmtId="0" fontId="5" fillId="2" borderId="0" xfId="0" applyFont="1" applyFill="1" applyBorder="1" applyAlignment="1">
      <alignment horizontal="center" vertical="top" wrapText="1" readingOrder="1"/>
    </xf>
    <xf numFmtId="0" fontId="38" fillId="2" borderId="22" xfId="0" applyFont="1" applyFill="1" applyBorder="1" applyAlignment="1">
      <alignment horizontal="right" vertical="center" wrapText="1" readingOrder="1"/>
    </xf>
    <xf numFmtId="0" fontId="26" fillId="0" borderId="0" xfId="0" applyFont="1" applyAlignment="1">
      <alignment horizontal="right"/>
    </xf>
    <xf numFmtId="0" fontId="35" fillId="2" borderId="20" xfId="0"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5" fillId="2" borderId="37" xfId="0" applyFont="1" applyFill="1" applyBorder="1" applyAlignment="1">
      <alignment horizontal="center" vertical="center" wrapText="1" readingOrder="1"/>
    </xf>
    <xf numFmtId="0" fontId="35" fillId="2" borderId="2" xfId="0" applyFont="1" applyFill="1" applyBorder="1" applyAlignment="1">
      <alignment horizontal="center" vertical="center" wrapText="1" readingOrder="1"/>
    </xf>
    <xf numFmtId="0" fontId="35" fillId="2" borderId="9" xfId="0" applyFont="1" applyFill="1" applyBorder="1" applyAlignment="1">
      <alignment horizontal="center" vertical="center" wrapText="1" readingOrder="1"/>
    </xf>
    <xf numFmtId="0" fontId="35" fillId="2" borderId="13" xfId="0" applyFont="1" applyFill="1" applyBorder="1" applyAlignment="1">
      <alignment horizontal="center" vertical="center" wrapText="1" readingOrder="1"/>
    </xf>
    <xf numFmtId="0" fontId="35" fillId="2" borderId="28" xfId="0" applyFont="1" applyFill="1" applyBorder="1" applyAlignment="1">
      <alignment horizontal="center" vertical="center" wrapText="1" readingOrder="1"/>
    </xf>
    <xf numFmtId="0" fontId="35" fillId="2" borderId="27" xfId="0" applyFont="1" applyFill="1" applyBorder="1" applyAlignment="1">
      <alignment horizontal="center" vertical="center" wrapText="1" readingOrder="1"/>
    </xf>
    <xf numFmtId="0" fontId="35" fillId="2" borderId="21" xfId="0" applyFont="1" applyFill="1" applyBorder="1" applyAlignment="1">
      <alignment horizontal="center" vertical="center" wrapText="1" readingOrder="1"/>
    </xf>
    <xf numFmtId="167" fontId="20" fillId="2" borderId="0" xfId="6" applyNumberFormat="1"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2" xfId="0" applyFont="1" applyBorder="1" applyAlignment="1">
      <alignment horizontal="right"/>
    </xf>
    <xf numFmtId="0" fontId="18" fillId="0" borderId="0" xfId="0" applyFont="1" applyAlignment="1">
      <alignment horizontal="center" vertical="center" wrapText="1"/>
    </xf>
    <xf numFmtId="167" fontId="20" fillId="2" borderId="20" xfId="6" applyNumberFormat="1" applyFont="1" applyFill="1" applyBorder="1" applyAlignment="1">
      <alignment horizontal="center" vertical="center"/>
    </xf>
    <xf numFmtId="167" fontId="20" fillId="2" borderId="19" xfId="6" applyNumberFormat="1" applyFont="1" applyFill="1" applyBorder="1" applyAlignment="1">
      <alignment horizontal="center" vertical="center"/>
    </xf>
    <xf numFmtId="0" fontId="20" fillId="0" borderId="2" xfId="0" applyFont="1" applyBorder="1" applyAlignment="1">
      <alignment horizontal="center" vertical="center"/>
    </xf>
    <xf numFmtId="0" fontId="20" fillId="0" borderId="13" xfId="0" applyFont="1" applyBorder="1" applyAlignment="1">
      <alignment horizontal="center" vertical="center"/>
    </xf>
    <xf numFmtId="167" fontId="20" fillId="2" borderId="20" xfId="6" applyNumberFormat="1" applyFont="1" applyFill="1" applyBorder="1" applyAlignment="1">
      <alignment horizontal="center" vertical="center" wrapText="1"/>
    </xf>
    <xf numFmtId="167" fontId="20" fillId="2" borderId="19" xfId="6" applyNumberFormat="1" applyFont="1" applyFill="1" applyBorder="1" applyAlignment="1">
      <alignment horizontal="center" vertical="center" wrapText="1"/>
    </xf>
    <xf numFmtId="0" fontId="20" fillId="0" borderId="9" xfId="0" applyFont="1" applyBorder="1" applyAlignment="1">
      <alignment horizontal="center" vertical="center"/>
    </xf>
    <xf numFmtId="167" fontId="20" fillId="2" borderId="23" xfId="6" applyNumberFormat="1"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9" xfId="0" applyFont="1" applyBorder="1" applyAlignment="1">
      <alignment horizontal="center" vertical="center" wrapText="1"/>
    </xf>
    <xf numFmtId="167" fontId="20" fillId="2" borderId="21" xfId="6" applyNumberFormat="1" applyFont="1" applyFill="1" applyBorder="1" applyAlignment="1">
      <alignment horizontal="center" vertical="center"/>
    </xf>
    <xf numFmtId="167" fontId="20" fillId="2" borderId="24" xfId="6" applyNumberFormat="1" applyFont="1" applyFill="1" applyBorder="1" applyAlignment="1">
      <alignment horizontal="center" vertical="center"/>
    </xf>
    <xf numFmtId="0" fontId="20" fillId="3" borderId="67" xfId="0" applyFont="1" applyFill="1" applyBorder="1" applyAlignment="1">
      <alignment horizontal="center" vertical="center"/>
    </xf>
    <xf numFmtId="0" fontId="20" fillId="3" borderId="62" xfId="0" applyFont="1" applyFill="1" applyBorder="1" applyAlignment="1">
      <alignment horizontal="center" vertical="center"/>
    </xf>
    <xf numFmtId="0" fontId="20" fillId="0" borderId="0" xfId="0" applyFont="1" applyAlignment="1">
      <alignment horizontal="center"/>
    </xf>
    <xf numFmtId="167" fontId="20" fillId="2" borderId="2" xfId="6" applyNumberFormat="1" applyFont="1" applyFill="1" applyBorder="1" applyAlignment="1">
      <alignment horizontal="center" vertical="center" wrapText="1"/>
    </xf>
    <xf numFmtId="167" fontId="20" fillId="2" borderId="13" xfId="6" applyNumberFormat="1" applyFont="1" applyFill="1" applyBorder="1" applyAlignment="1">
      <alignment horizontal="center" vertical="center" wrapText="1"/>
    </xf>
    <xf numFmtId="167" fontId="20" fillId="2" borderId="28" xfId="6" applyNumberFormat="1" applyFont="1" applyFill="1" applyBorder="1" applyAlignment="1">
      <alignment horizontal="center" vertical="center" wrapText="1"/>
    </xf>
    <xf numFmtId="167" fontId="20" fillId="2" borderId="21" xfId="6"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4" borderId="20"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1" fillId="0" borderId="0" xfId="0" applyFont="1" applyBorder="1" applyAlignment="1">
      <alignment horizontal="center" vertical="center" wrapText="1"/>
    </xf>
    <xf numFmtId="0" fontId="57" fillId="0" borderId="23" xfId="0" applyFont="1" applyBorder="1" applyAlignment="1">
      <alignment horizontal="center" vertical="center"/>
    </xf>
    <xf numFmtId="0" fontId="59" fillId="0" borderId="28" xfId="0" applyFont="1" applyBorder="1" applyAlignment="1">
      <alignment horizontal="center" vertical="center" wrapText="1"/>
    </xf>
    <xf numFmtId="0" fontId="59" fillId="0" borderId="34" xfId="0" applyFont="1" applyBorder="1" applyAlignment="1">
      <alignment horizontal="center" vertical="center" wrapText="1"/>
    </xf>
    <xf numFmtId="0" fontId="33" fillId="2" borderId="23" xfId="0" applyFont="1" applyFill="1" applyBorder="1" applyAlignment="1">
      <alignment horizontal="center" vertical="center"/>
    </xf>
    <xf numFmtId="0" fontId="77" fillId="0" borderId="0" xfId="0" applyFont="1" applyFill="1" applyAlignment="1">
      <alignment horizontal="left" vertical="top" wrapText="1"/>
    </xf>
    <xf numFmtId="0" fontId="70" fillId="0" borderId="0" xfId="0" applyFont="1" applyFill="1" applyAlignment="1">
      <alignment horizontal="center" vertical="center"/>
    </xf>
    <xf numFmtId="0" fontId="9" fillId="0" borderId="20"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9" xfId="0" applyFont="1" applyFill="1" applyBorder="1" applyAlignment="1">
      <alignment horizontal="center" vertical="center"/>
    </xf>
    <xf numFmtId="0" fontId="23" fillId="0" borderId="3"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14" xfId="0" applyFont="1" applyFill="1" applyBorder="1" applyAlignment="1">
      <alignment horizontal="left" vertical="center"/>
    </xf>
    <xf numFmtId="3" fontId="25" fillId="0" borderId="20" xfId="0" applyNumberFormat="1" applyFont="1" applyFill="1" applyBorder="1" applyAlignment="1">
      <alignment horizontal="center" vertical="center" wrapText="1"/>
    </xf>
    <xf numFmtId="3" fontId="25" fillId="0" borderId="23" xfId="0" applyNumberFormat="1" applyFont="1" applyFill="1" applyBorder="1" applyAlignment="1">
      <alignment horizontal="center" vertical="center" wrapText="1"/>
    </xf>
    <xf numFmtId="3" fontId="25" fillId="0" borderId="19" xfId="0" applyNumberFormat="1" applyFont="1" applyFill="1" applyBorder="1" applyAlignment="1">
      <alignment horizontal="center" vertical="center" wrapText="1"/>
    </xf>
    <xf numFmtId="0" fontId="23" fillId="0" borderId="17" xfId="0" applyFont="1" applyFill="1" applyBorder="1" applyAlignment="1">
      <alignment horizontal="left" vertical="center"/>
    </xf>
    <xf numFmtId="0" fontId="23" fillId="0" borderId="41" xfId="0" applyFont="1" applyFill="1" applyBorder="1" applyAlignment="1">
      <alignment horizontal="left" vertical="center"/>
    </xf>
    <xf numFmtId="0" fontId="23" fillId="0" borderId="42" xfId="0" applyFont="1" applyFill="1" applyBorder="1" applyAlignment="1">
      <alignment horizontal="left" vertical="center"/>
    </xf>
    <xf numFmtId="0" fontId="23" fillId="0" borderId="2" xfId="0" applyFont="1" applyFill="1" applyBorder="1" applyAlignment="1">
      <alignment horizontal="left" vertical="center"/>
    </xf>
    <xf numFmtId="0" fontId="23" fillId="0" borderId="9" xfId="0" applyFont="1" applyFill="1" applyBorder="1" applyAlignment="1">
      <alignment horizontal="left" vertical="center"/>
    </xf>
    <xf numFmtId="0" fontId="23" fillId="0" borderId="13" xfId="0" applyFont="1" applyFill="1" applyBorder="1" applyAlignment="1">
      <alignment horizontal="left" vertical="center"/>
    </xf>
    <xf numFmtId="0" fontId="9" fillId="0" borderId="2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9" xfId="0" applyFont="1" applyFill="1" applyBorder="1" applyAlignment="1">
      <alignment horizontal="center" vertical="center" wrapText="1"/>
    </xf>
    <xf numFmtId="3" fontId="13" fillId="0" borderId="67" xfId="1" applyNumberFormat="1" applyFont="1" applyFill="1" applyBorder="1" applyAlignment="1">
      <alignment horizontal="center" vertical="center"/>
    </xf>
    <xf numFmtId="3" fontId="13" fillId="0" borderId="71" xfId="1" applyNumberFormat="1" applyFont="1" applyFill="1" applyBorder="1" applyAlignment="1">
      <alignment horizontal="center" vertical="center"/>
    </xf>
    <xf numFmtId="3" fontId="13" fillId="0" borderId="62" xfId="1" applyNumberFormat="1"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75" xfId="0" applyFont="1" applyFill="1" applyBorder="1" applyAlignment="1">
      <alignment horizontal="center" vertical="center" wrapText="1"/>
    </xf>
    <xf numFmtId="9" fontId="9" fillId="0" borderId="20" xfId="0" applyNumberFormat="1" applyFont="1" applyFill="1" applyBorder="1" applyAlignment="1">
      <alignment horizontal="center" vertical="center" wrapText="1"/>
    </xf>
    <xf numFmtId="9" fontId="9" fillId="0" borderId="23" xfId="0" applyNumberFormat="1" applyFont="1" applyFill="1" applyBorder="1" applyAlignment="1">
      <alignment horizontal="center" vertical="center" wrapText="1"/>
    </xf>
    <xf numFmtId="9" fontId="9" fillId="0" borderId="19" xfId="0" applyNumberFormat="1" applyFont="1" applyFill="1" applyBorder="1" applyAlignment="1">
      <alignment horizontal="center" vertical="center" wrapText="1"/>
    </xf>
    <xf numFmtId="3" fontId="9" fillId="19" borderId="20" xfId="0" applyNumberFormat="1" applyFont="1" applyFill="1" applyBorder="1" applyAlignment="1">
      <alignment horizontal="center" vertical="center" wrapText="1"/>
    </xf>
    <xf numFmtId="3" fontId="9" fillId="19" borderId="23" xfId="0" applyNumberFormat="1" applyFont="1" applyFill="1" applyBorder="1" applyAlignment="1">
      <alignment horizontal="center" vertical="center" wrapText="1"/>
    </xf>
    <xf numFmtId="3" fontId="9" fillId="19" borderId="19" xfId="0" applyNumberFormat="1" applyFont="1" applyFill="1" applyBorder="1" applyAlignment="1">
      <alignment horizontal="center" vertical="center" wrapText="1"/>
    </xf>
    <xf numFmtId="9" fontId="32" fillId="0" borderId="20" xfId="0" applyNumberFormat="1" applyFont="1" applyFill="1" applyBorder="1" applyAlignment="1">
      <alignment horizontal="center" vertical="center" wrapText="1"/>
    </xf>
    <xf numFmtId="9" fontId="32" fillId="0" borderId="23" xfId="0" applyNumberFormat="1" applyFont="1" applyFill="1" applyBorder="1" applyAlignment="1">
      <alignment horizontal="center" vertical="center" wrapText="1"/>
    </xf>
    <xf numFmtId="9" fontId="32" fillId="0" borderId="19" xfId="0" applyNumberFormat="1" applyFont="1" applyFill="1" applyBorder="1" applyAlignment="1">
      <alignment horizontal="center" vertical="center" wrapText="1"/>
    </xf>
    <xf numFmtId="3" fontId="32" fillId="0" borderId="20" xfId="0" applyNumberFormat="1" applyFont="1" applyFill="1" applyBorder="1" applyAlignment="1">
      <alignment horizontal="center" vertical="center" wrapText="1"/>
    </xf>
    <xf numFmtId="3" fontId="32" fillId="0" borderId="23" xfId="0" applyNumberFormat="1" applyFont="1" applyFill="1" applyBorder="1" applyAlignment="1">
      <alignment horizontal="center" vertical="center" wrapText="1"/>
    </xf>
    <xf numFmtId="3" fontId="32" fillId="0" borderId="19" xfId="0" applyNumberFormat="1" applyFont="1" applyFill="1" applyBorder="1" applyAlignment="1">
      <alignment horizontal="center" vertical="center" wrapText="1"/>
    </xf>
    <xf numFmtId="0" fontId="9" fillId="20" borderId="20" xfId="0" applyFont="1" applyFill="1" applyBorder="1" applyAlignment="1">
      <alignment horizontal="center" vertical="center" wrapText="1"/>
    </xf>
    <xf numFmtId="0" fontId="9" fillId="20" borderId="23" xfId="0" applyFont="1" applyFill="1" applyBorder="1" applyAlignment="1">
      <alignment horizontal="center" vertical="center" wrapText="1"/>
    </xf>
    <xf numFmtId="0" fontId="9" fillId="20" borderId="19" xfId="0" applyFont="1" applyFill="1" applyBorder="1" applyAlignment="1">
      <alignment horizontal="center" vertical="center" wrapText="1"/>
    </xf>
    <xf numFmtId="3" fontId="13" fillId="20" borderId="67" xfId="1" applyNumberFormat="1" applyFont="1" applyFill="1" applyBorder="1" applyAlignment="1">
      <alignment horizontal="center" vertical="center"/>
    </xf>
    <xf numFmtId="3" fontId="13" fillId="20" borderId="71" xfId="1" applyNumberFormat="1" applyFont="1" applyFill="1" applyBorder="1" applyAlignment="1">
      <alignment horizontal="center" vertical="center"/>
    </xf>
    <xf numFmtId="3" fontId="13" fillId="20" borderId="62" xfId="1" applyNumberFormat="1" applyFont="1" applyFill="1" applyBorder="1" applyAlignment="1">
      <alignment horizontal="center" vertical="center"/>
    </xf>
    <xf numFmtId="0" fontId="9" fillId="20" borderId="69" xfId="0" applyFont="1" applyFill="1" applyBorder="1" applyAlignment="1">
      <alignment horizontal="center" vertical="center" wrapText="1"/>
    </xf>
    <xf numFmtId="0" fontId="9" fillId="20" borderId="72" xfId="0" applyFont="1" applyFill="1" applyBorder="1" applyAlignment="1">
      <alignment horizontal="center" vertical="center" wrapText="1"/>
    </xf>
    <xf numFmtId="0" fontId="9" fillId="20" borderId="63" xfId="0" applyFont="1" applyFill="1" applyBorder="1" applyAlignment="1">
      <alignment horizontal="center" vertical="center" wrapText="1"/>
    </xf>
    <xf numFmtId="9" fontId="9" fillId="20" borderId="20" xfId="0" applyNumberFormat="1" applyFont="1" applyFill="1" applyBorder="1" applyAlignment="1">
      <alignment horizontal="center" vertical="center" wrapText="1"/>
    </xf>
    <xf numFmtId="9" fontId="9" fillId="20" borderId="23" xfId="0" applyNumberFormat="1" applyFont="1" applyFill="1" applyBorder="1" applyAlignment="1">
      <alignment horizontal="center" vertical="center" wrapText="1"/>
    </xf>
    <xf numFmtId="9" fontId="9" fillId="20" borderId="19" xfId="0" applyNumberFormat="1" applyFont="1" applyFill="1" applyBorder="1" applyAlignment="1">
      <alignment horizontal="center" vertical="center" wrapText="1"/>
    </xf>
    <xf numFmtId="3" fontId="32" fillId="20" borderId="21" xfId="0" applyNumberFormat="1" applyFont="1" applyFill="1" applyBorder="1" applyAlignment="1">
      <alignment horizontal="center" vertical="center" wrapText="1"/>
    </xf>
    <xf numFmtId="3" fontId="32" fillId="20" borderId="38" xfId="0" applyNumberFormat="1" applyFont="1" applyFill="1" applyBorder="1" applyAlignment="1">
      <alignment horizontal="center" vertical="center" wrapText="1"/>
    </xf>
    <xf numFmtId="3" fontId="32" fillId="20" borderId="24" xfId="0" applyNumberFormat="1"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3" fontId="9" fillId="0" borderId="23" xfId="0" applyNumberFormat="1"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3" fontId="19" fillId="0" borderId="0" xfId="0" applyNumberFormat="1" applyFont="1" applyFill="1" applyBorder="1" applyAlignment="1">
      <alignment horizontal="center" wrapText="1"/>
    </xf>
    <xf numFmtId="0" fontId="9" fillId="0" borderId="2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63" xfId="0" applyFont="1" applyFill="1" applyBorder="1" applyAlignment="1">
      <alignment horizontal="center" vertical="center" wrapText="1"/>
    </xf>
    <xf numFmtId="3" fontId="9" fillId="19" borderId="21" xfId="0" applyNumberFormat="1" applyFont="1" applyFill="1" applyBorder="1" applyAlignment="1">
      <alignment horizontal="center" vertical="center" wrapText="1"/>
    </xf>
    <xf numFmtId="3" fontId="9" fillId="19" borderId="38" xfId="0" applyNumberFormat="1" applyFont="1" applyFill="1" applyBorder="1" applyAlignment="1">
      <alignment horizontal="center" vertical="center" wrapText="1"/>
    </xf>
    <xf numFmtId="3" fontId="9" fillId="19" borderId="24" xfId="0" applyNumberFormat="1" applyFont="1" applyFill="1" applyBorder="1" applyAlignment="1">
      <alignment horizontal="center" vertical="center" wrapText="1"/>
    </xf>
    <xf numFmtId="3" fontId="69" fillId="0" borderId="67" xfId="1" applyNumberFormat="1" applyFont="1" applyFill="1" applyBorder="1" applyAlignment="1">
      <alignment horizontal="center" vertical="center"/>
    </xf>
    <xf numFmtId="3" fontId="69" fillId="0" borderId="71" xfId="1" applyNumberFormat="1" applyFont="1" applyFill="1" applyBorder="1" applyAlignment="1">
      <alignment horizontal="center" vertical="center"/>
    </xf>
    <xf numFmtId="3" fontId="69" fillId="0" borderId="62" xfId="1" applyNumberFormat="1" applyFont="1" applyFill="1" applyBorder="1" applyAlignment="1">
      <alignment horizontal="center" vertical="center"/>
    </xf>
    <xf numFmtId="0" fontId="9" fillId="0" borderId="68"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41" fillId="2" borderId="0" xfId="4" applyFont="1" applyFill="1" applyBorder="1" applyAlignment="1">
      <alignment horizontal="center" wrapText="1"/>
    </xf>
    <xf numFmtId="0" fontId="44" fillId="2" borderId="20" xfId="4" applyFont="1" applyFill="1" applyBorder="1" applyAlignment="1">
      <alignment horizontal="center" vertical="center" wrapText="1"/>
    </xf>
    <xf numFmtId="0" fontId="44" fillId="2" borderId="19" xfId="4" applyFont="1" applyFill="1" applyBorder="1" applyAlignment="1">
      <alignment horizontal="center" vertical="center" wrapText="1"/>
    </xf>
    <xf numFmtId="173" fontId="44" fillId="2" borderId="20" xfId="4" applyNumberFormat="1" applyFont="1" applyFill="1" applyBorder="1" applyAlignment="1">
      <alignment horizontal="center" vertical="center" wrapText="1"/>
    </xf>
    <xf numFmtId="173" fontId="44" fillId="2" borderId="19" xfId="4" applyNumberFormat="1" applyFont="1" applyFill="1" applyBorder="1" applyAlignment="1">
      <alignment horizontal="center" vertical="center" wrapText="1"/>
    </xf>
    <xf numFmtId="174" fontId="44" fillId="2" borderId="28" xfId="4" applyNumberFormat="1" applyFont="1" applyFill="1" applyBorder="1" applyAlignment="1">
      <alignment horizontal="center" vertical="center" wrapText="1"/>
    </xf>
    <xf numFmtId="174" fontId="44" fillId="2" borderId="21" xfId="4" applyNumberFormat="1" applyFont="1" applyFill="1" applyBorder="1" applyAlignment="1">
      <alignment horizontal="center" vertical="center" wrapText="1"/>
    </xf>
    <xf numFmtId="174" fontId="44" fillId="2" borderId="18" xfId="4" applyNumberFormat="1" applyFont="1" applyFill="1" applyBorder="1" applyAlignment="1">
      <alignment horizontal="center" vertical="center" wrapText="1"/>
    </xf>
    <xf numFmtId="174" fontId="44" fillId="2" borderId="24" xfId="4" applyNumberFormat="1" applyFont="1" applyFill="1" applyBorder="1" applyAlignment="1">
      <alignment horizontal="center" vertical="center" wrapText="1"/>
    </xf>
    <xf numFmtId="175" fontId="44" fillId="2" borderId="20" xfId="4" applyNumberFormat="1" applyFont="1" applyFill="1" applyBorder="1" applyAlignment="1">
      <alignment horizontal="center" vertical="center" wrapText="1"/>
    </xf>
    <xf numFmtId="175" fontId="44" fillId="2" borderId="19" xfId="4" applyNumberFormat="1" applyFont="1" applyFill="1" applyBorder="1" applyAlignment="1">
      <alignment horizontal="center" vertical="center" wrapText="1"/>
    </xf>
    <xf numFmtId="175" fontId="44" fillId="2" borderId="2" xfId="4" applyNumberFormat="1" applyFont="1" applyFill="1" applyBorder="1" applyAlignment="1">
      <alignment horizontal="center" vertical="center" wrapText="1"/>
    </xf>
    <xf numFmtId="175" fontId="44" fillId="2" borderId="13" xfId="4" applyNumberFormat="1" applyFont="1" applyFill="1" applyBorder="1" applyAlignment="1">
      <alignment horizontal="center" vertical="center" wrapText="1"/>
    </xf>
    <xf numFmtId="0" fontId="45" fillId="2" borderId="32" xfId="4" applyFont="1" applyFill="1" applyBorder="1" applyAlignment="1">
      <alignment horizontal="center"/>
    </xf>
    <xf numFmtId="0" fontId="45" fillId="2" borderId="58" xfId="4" applyFont="1" applyFill="1" applyBorder="1" applyAlignment="1">
      <alignment horizontal="center"/>
    </xf>
    <xf numFmtId="0" fontId="45" fillId="2" borderId="59" xfId="4" applyFont="1" applyFill="1" applyBorder="1" applyAlignment="1">
      <alignment horizontal="center"/>
    </xf>
    <xf numFmtId="0" fontId="48" fillId="0" borderId="0" xfId="0" applyFont="1" applyAlignment="1">
      <alignment horizontal="center" wrapText="1"/>
    </xf>
    <xf numFmtId="0" fontId="48" fillId="0" borderId="0" xfId="0" applyFont="1" applyAlignment="1">
      <alignment horizontal="right"/>
    </xf>
    <xf numFmtId="0" fontId="45" fillId="9" borderId="32" xfId="4" applyFont="1" applyFill="1" applyBorder="1" applyAlignment="1">
      <alignment horizontal="center" vertical="center"/>
    </xf>
    <xf numFmtId="0" fontId="45" fillId="9" borderId="58" xfId="4" applyFont="1" applyFill="1" applyBorder="1" applyAlignment="1">
      <alignment horizontal="center" vertical="center"/>
    </xf>
    <xf numFmtId="0" fontId="45" fillId="9" borderId="59" xfId="4" applyFont="1" applyFill="1" applyBorder="1" applyAlignment="1">
      <alignment horizontal="center" vertical="center"/>
    </xf>
    <xf numFmtId="0" fontId="45" fillId="13" borderId="2" xfId="4" applyFont="1" applyFill="1" applyBorder="1" applyAlignment="1">
      <alignment horizontal="center" vertical="center"/>
    </xf>
    <xf numFmtId="0" fontId="45" fillId="13" borderId="9" xfId="4" applyFont="1" applyFill="1" applyBorder="1" applyAlignment="1">
      <alignment horizontal="center" vertical="center"/>
    </xf>
    <xf numFmtId="0" fontId="45" fillId="13" borderId="13" xfId="4" applyFont="1" applyFill="1" applyBorder="1" applyAlignment="1">
      <alignment horizontal="center" vertical="center"/>
    </xf>
    <xf numFmtId="0" fontId="45" fillId="10" borderId="2" xfId="4" applyFont="1" applyFill="1" applyBorder="1" applyAlignment="1">
      <alignment horizontal="center" vertical="center"/>
    </xf>
    <xf numFmtId="0" fontId="45" fillId="10" borderId="9" xfId="4" applyFont="1" applyFill="1" applyBorder="1" applyAlignment="1">
      <alignment horizontal="center" vertical="center"/>
    </xf>
    <xf numFmtId="0" fontId="45" fillId="10" borderId="13" xfId="4" applyFont="1" applyFill="1" applyBorder="1" applyAlignment="1">
      <alignment horizontal="center" vertical="center"/>
    </xf>
    <xf numFmtId="0" fontId="45" fillId="2" borderId="2" xfId="4" applyFont="1" applyFill="1" applyBorder="1" applyAlignment="1">
      <alignment horizontal="center" vertical="center"/>
    </xf>
    <xf numFmtId="0" fontId="45" fillId="2" borderId="9" xfId="4" applyFont="1" applyFill="1" applyBorder="1" applyAlignment="1">
      <alignment horizontal="center" vertical="center"/>
    </xf>
    <xf numFmtId="0" fontId="45" fillId="2" borderId="13" xfId="4" applyFont="1" applyFill="1" applyBorder="1" applyAlignment="1">
      <alignment horizontal="center" vertical="center"/>
    </xf>
    <xf numFmtId="0" fontId="54" fillId="2" borderId="2" xfId="4" applyFont="1" applyFill="1" applyBorder="1" applyAlignment="1">
      <alignment horizontal="center" vertical="center"/>
    </xf>
    <xf numFmtId="0" fontId="54" fillId="2" borderId="9" xfId="4" applyFont="1" applyFill="1" applyBorder="1" applyAlignment="1">
      <alignment horizontal="center" vertical="center"/>
    </xf>
    <xf numFmtId="0" fontId="54" fillId="2" borderId="13" xfId="4" applyFont="1" applyFill="1" applyBorder="1" applyAlignment="1">
      <alignment horizontal="center" vertical="center"/>
    </xf>
    <xf numFmtId="164" fontId="55" fillId="2" borderId="2" xfId="6" applyFont="1" applyFill="1" applyBorder="1" applyAlignment="1">
      <alignment horizontal="left" vertical="center"/>
    </xf>
    <xf numFmtId="164" fontId="55" fillId="2" borderId="9" xfId="6" applyFont="1" applyFill="1" applyBorder="1" applyAlignment="1">
      <alignment horizontal="left" vertical="center"/>
    </xf>
    <xf numFmtId="164" fontId="55" fillId="2" borderId="13" xfId="6" applyFont="1" applyFill="1" applyBorder="1" applyAlignment="1">
      <alignment horizontal="left" vertical="center"/>
    </xf>
  </cellXfs>
  <cellStyles count="13">
    <cellStyle name="Percent 2" xfId="3"/>
    <cellStyle name="Обычный" xfId="0" builtinId="0"/>
    <cellStyle name="Обычный 2" xfId="4"/>
    <cellStyle name="Обычный 3" xfId="7"/>
    <cellStyle name="Процентный" xfId="2" builtinId="5"/>
    <cellStyle name="Процентный 2" xfId="5"/>
    <cellStyle name="Финансовый" xfId="1" builtinId="3"/>
    <cellStyle name="Финансовый 2" xfId="6"/>
    <cellStyle name="Финансовый 2 2" xfId="9"/>
    <cellStyle name="Финансовый 2 2 2" xfId="12"/>
    <cellStyle name="Финансовый 2 3" xfId="10"/>
    <cellStyle name="Финансовый 3" xfId="8"/>
    <cellStyle name="Финансовый 3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179;&#1072;&#1088;&#1079;&#1076;&#1086;&#1088;&#1080;&#1080;%20&#1076;&#1072;&#1088;%20&#1085;&#1072;&#1079;&#1076;&#1080;%20&#1041;&#1052;&#105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101;&#1085;&#1077;&#1088;&#1075;&#1077;&#1090;&#1080;&#1082;&#1072;/&#1080;&#1089;&#1086;&#1073;&#1086;&#1090;&#1080;%20&#1087;&#1091;&#1088;&#1088;&#1072;&#1080;%20&#1074;&#1077;&#1082;&#1089;&#1077;&#1083;&#1080;%20&#1101;&#1085;&#1077;&#1088;&#1075;&#1077;&#1090;&#1080;&#1082;&#1072;%20(2017-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58;&#1057;&#1041;_2,2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40;&#1048;&#1041;_1,07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40;&#1048;&#1041;_1,070%20(&#1040;&#1074;&#1090;&#1086;&#1089;&#1086;&#1093;&#1088;&#1072;&#1085;&#1077;&#1085;&#1085;&#1099;&#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қарздории дар назди БМТ"/>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ҳисоботи қарз"/>
      <sheetName val="Барои таҳлил-31.07.2020"/>
      <sheetName val="07,12,2020"/>
      <sheetName val="18,12,2020"/>
      <sheetName val="18,12,2020 (2)"/>
      <sheetName val="21,12,2020 (3)"/>
      <sheetName val="24,12,2020 (4)"/>
      <sheetName val="Лист1"/>
      <sheetName val="31,12,20"/>
      <sheetName val="15,01,2021"/>
      <sheetName val="06,04,2021 "/>
      <sheetName val="31,12,2021"/>
      <sheetName val="30,09,2021"/>
    </sheetNames>
    <sheetDataSet>
      <sheetData sheetId="0"/>
      <sheetData sheetId="1"/>
      <sheetData sheetId="2"/>
      <sheetData sheetId="3"/>
      <sheetData sheetId="4"/>
      <sheetData sheetId="5"/>
      <sheetData sheetId="6"/>
      <sheetData sheetId="7"/>
      <sheetData sheetId="8"/>
      <sheetData sheetId="9">
        <row r="13">
          <cell r="I13">
            <v>7608767.1232876722</v>
          </cell>
        </row>
        <row r="33">
          <cell r="I33">
            <v>10105972.603616439</v>
          </cell>
        </row>
        <row r="52">
          <cell r="I52">
            <v>6905306.0862232205</v>
          </cell>
        </row>
        <row r="91">
          <cell r="I91">
            <v>5982431.6939890701</v>
          </cell>
        </row>
      </sheetData>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Б тибқи шартнома"/>
      <sheetName val="санчиши"/>
      <sheetName val="TSB_31.12.2020"/>
      <sheetName val="TSB_31.01.2021"/>
      <sheetName val="TSB_28.02.2021"/>
      <sheetName val="TSB_31.03.2021"/>
      <sheetName val="TSB_30,04.2021"/>
      <sheetName val="TSB_31,05.2021 "/>
      <sheetName val="TSB_20,05.2021  (2)"/>
      <sheetName val="TSB_30,06.2021 "/>
      <sheetName val="TSB_31,07.2021 "/>
      <sheetName val="TSB_31,08.2021"/>
      <sheetName val="TSB_15,09.2021"/>
      <sheetName val="TSB_30,09.2021"/>
      <sheetName val="TSB_31,10.2021"/>
      <sheetName val="TSB_30,11.2021"/>
      <sheetName val="TSB_31,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82">
          <cell r="J82">
            <v>42673868.530271783</v>
          </cell>
        </row>
        <row r="85">
          <cell r="L85">
            <v>81756490.364690363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АИБ тибқи шартнома"/>
      <sheetName val="1-год (5%) АИБ"/>
      <sheetName val="АИБ - 31.12.2020 "/>
      <sheetName val="АИБ - 31.12.2020  (2)"/>
      <sheetName val="АИБ - 31.01.2021"/>
      <sheetName val="АИБ - 28.02.2021"/>
      <sheetName val="АИБ - 31.03.2021"/>
      <sheetName val="АИБ - 30.04.2021"/>
      <sheetName val="АИБ - 31.05.2021"/>
      <sheetName val="АИБ - 20.05.2021 (2)"/>
      <sheetName val="АИБ - 20.05.2021 (3)"/>
      <sheetName val="АИБ - 30.06.2021"/>
      <sheetName val="АИБ - 31.07.2021"/>
      <sheetName val="АИБ - 31.08.2021"/>
      <sheetName val="АИБ - 15.09.2021"/>
      <sheetName val="АИБ - 30.09.2021 "/>
      <sheetName val="АИБ - 30.11.2021"/>
      <sheetName val="АИБ - 31.12.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4">
          <cell r="M84">
            <v>96028395.098609924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ИБ тибқи шартнома"/>
      <sheetName val="1-год (5%) АИБ"/>
      <sheetName val="АИБ - 31.12.2020 "/>
      <sheetName val="АИБ - 31.12.2020  (2)"/>
      <sheetName val="АИБ - 31.01.2021"/>
      <sheetName val="АИБ - 28.02.2021"/>
      <sheetName val="АИБ - 31.03.2021"/>
      <sheetName val="АИБ - 30.04.2021"/>
      <sheetName val="АИБ - 31.05.2021"/>
      <sheetName val="АИБ - 20.05.2021 (2)"/>
      <sheetName val="АИБ - 20.05.2021 (3)"/>
      <sheetName val="Лист1"/>
      <sheetName val="АИБ - 30.06.2021"/>
      <sheetName val="АИБ - 31.07.2021"/>
      <sheetName val="АИБ - 31.08.2021"/>
      <sheetName val="АИБ - 15.09.2021"/>
      <sheetName val="АИБ - 30.09.2021 "/>
      <sheetName val="АИБ - 30.11.2021"/>
      <sheetName val="АИБ - 31.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83">
          <cell r="K83">
            <v>21198572.547616433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27"/>
  <sheetViews>
    <sheetView tabSelected="1" view="pageBreakPreview" zoomScale="70" zoomScaleNormal="70" zoomScaleSheetLayoutView="70" zoomScalePageLayoutView="60" workbookViewId="0">
      <selection activeCell="L10" sqref="L10"/>
    </sheetView>
  </sheetViews>
  <sheetFormatPr defaultRowHeight="14.25" x14ac:dyDescent="0.2"/>
  <cols>
    <col min="1" max="1" width="6.140625" style="6" customWidth="1"/>
    <col min="2" max="2" width="47.85546875" style="7" customWidth="1"/>
    <col min="3" max="3" width="29" style="6" customWidth="1"/>
    <col min="4" max="4" width="21.42578125" style="6" customWidth="1"/>
    <col min="5" max="5" width="13.42578125" style="6" customWidth="1"/>
    <col min="6" max="6" width="16.5703125" style="6" customWidth="1"/>
    <col min="7" max="7" width="24.42578125" style="6" customWidth="1"/>
    <col min="8" max="8" width="20.28515625" style="6" customWidth="1"/>
    <col min="9" max="9" width="7.7109375" style="6" hidden="1" customWidth="1"/>
    <col min="10" max="10" width="18" style="6" customWidth="1"/>
    <col min="11" max="11" width="15" style="6" customWidth="1"/>
    <col min="12" max="12" width="20.85546875" style="6" customWidth="1"/>
    <col min="13" max="13" width="20.140625" style="6" customWidth="1"/>
    <col min="14" max="16384" width="9.140625" style="6"/>
  </cols>
  <sheetData>
    <row r="1" spans="1:13" ht="31.5" customHeight="1" x14ac:dyDescent="0.5">
      <c r="L1" s="1117" t="s">
        <v>299</v>
      </c>
      <c r="M1" s="1118"/>
    </row>
    <row r="2" spans="1:13" ht="31.5" customHeight="1" x14ac:dyDescent="0.5">
      <c r="L2" s="1069"/>
      <c r="M2" s="1070"/>
    </row>
    <row r="3" spans="1:13" ht="31.5" customHeight="1" x14ac:dyDescent="0.5">
      <c r="L3" s="1069"/>
      <c r="M3" s="1070"/>
    </row>
    <row r="4" spans="1:13" s="1063" customFormat="1" ht="62.25" customHeight="1" x14ac:dyDescent="0.4">
      <c r="A4" s="1071"/>
      <c r="B4" s="1126" t="s">
        <v>300</v>
      </c>
      <c r="C4" s="1127"/>
      <c r="D4" s="1127"/>
      <c r="E4" s="1127"/>
      <c r="F4" s="1127"/>
      <c r="G4" s="1127"/>
      <c r="H4" s="1127"/>
      <c r="I4" s="1127"/>
      <c r="J4" s="1127"/>
      <c r="K4" s="1127"/>
      <c r="L4" s="1127"/>
      <c r="M4" s="1071"/>
    </row>
    <row r="5" spans="1:13" ht="36" customHeight="1" x14ac:dyDescent="0.2">
      <c r="A5" s="1119" t="s">
        <v>301</v>
      </c>
      <c r="B5" s="1119"/>
      <c r="C5" s="1119"/>
      <c r="D5" s="1119"/>
      <c r="E5" s="1119"/>
      <c r="F5" s="1119"/>
      <c r="G5" s="1119"/>
      <c r="H5" s="1119"/>
      <c r="I5" s="1119"/>
      <c r="J5" s="1119"/>
      <c r="K5" s="1119"/>
      <c r="L5" s="1119"/>
      <c r="M5" s="1119"/>
    </row>
    <row r="6" spans="1:13" ht="83.25" customHeight="1" x14ac:dyDescent="0.2">
      <c r="A6" s="1078" t="s">
        <v>28</v>
      </c>
      <c r="B6" s="1078" t="s">
        <v>0</v>
      </c>
      <c r="C6" s="1078" t="s">
        <v>1</v>
      </c>
      <c r="D6" s="1078" t="s">
        <v>2</v>
      </c>
      <c r="E6" s="1078" t="s">
        <v>3</v>
      </c>
      <c r="F6" s="1078" t="s">
        <v>4</v>
      </c>
      <c r="G6" s="1078" t="s">
        <v>40</v>
      </c>
      <c r="H6" s="1078" t="s">
        <v>255</v>
      </c>
      <c r="I6" s="1078" t="s">
        <v>176</v>
      </c>
      <c r="J6" s="1106" t="s">
        <v>296</v>
      </c>
      <c r="K6" s="1106" t="s">
        <v>297</v>
      </c>
      <c r="L6" s="1107" t="s">
        <v>298</v>
      </c>
      <c r="M6" s="1078" t="s">
        <v>293</v>
      </c>
    </row>
    <row r="7" spans="1:13" ht="47.25" customHeight="1" x14ac:dyDescent="0.2">
      <c r="A7" s="1078">
        <v>1</v>
      </c>
      <c r="B7" s="1077" t="s">
        <v>149</v>
      </c>
      <c r="C7" s="1078" t="s">
        <v>5</v>
      </c>
      <c r="D7" s="1079">
        <f>153790091/1000</f>
        <v>153790.09099999999</v>
      </c>
      <c r="E7" s="1078">
        <v>2001</v>
      </c>
      <c r="F7" s="1078" t="s">
        <v>37</v>
      </c>
      <c r="G7" s="1078" t="s">
        <v>6</v>
      </c>
      <c r="H7" s="1079">
        <v>23000.940999999999</v>
      </c>
      <c r="I7" s="1080"/>
      <c r="J7" s="1081">
        <v>23000.940999999999</v>
      </c>
      <c r="K7" s="1081">
        <f>6864.65924+116.79284</f>
        <v>6981.45208</v>
      </c>
      <c r="L7" s="1082">
        <f>+H7-J7</f>
        <v>0</v>
      </c>
      <c r="M7" s="1108">
        <f t="shared" ref="M7:M16" si="0">+H7-L7</f>
        <v>23000.940999999999</v>
      </c>
    </row>
    <row r="8" spans="1:13" ht="43.5" customHeight="1" x14ac:dyDescent="0.2">
      <c r="A8" s="1078">
        <v>2</v>
      </c>
      <c r="B8" s="1077" t="s">
        <v>111</v>
      </c>
      <c r="C8" s="1078" t="s">
        <v>8</v>
      </c>
      <c r="D8" s="1079">
        <v>395048</v>
      </c>
      <c r="E8" s="1078">
        <v>2010</v>
      </c>
      <c r="F8" s="1078" t="s">
        <v>39</v>
      </c>
      <c r="G8" s="1078" t="s">
        <v>9</v>
      </c>
      <c r="H8" s="1079">
        <v>59009.616000000002</v>
      </c>
      <c r="I8" s="1080"/>
      <c r="J8" s="1081">
        <v>0</v>
      </c>
      <c r="K8" s="1081">
        <v>2379.7849999999999</v>
      </c>
      <c r="L8" s="1083">
        <f>+H8-J8</f>
        <v>59009.616000000002</v>
      </c>
      <c r="M8" s="1108">
        <f t="shared" si="0"/>
        <v>0</v>
      </c>
    </row>
    <row r="9" spans="1:13" ht="53.25" customHeight="1" x14ac:dyDescent="0.2">
      <c r="A9" s="1078">
        <v>3</v>
      </c>
      <c r="B9" s="1077" t="s">
        <v>10</v>
      </c>
      <c r="C9" s="1078" t="s">
        <v>11</v>
      </c>
      <c r="D9" s="1079">
        <f>500000000/1000</f>
        <v>500000</v>
      </c>
      <c r="E9" s="1078">
        <v>2012</v>
      </c>
      <c r="F9" s="1078" t="s">
        <v>38</v>
      </c>
      <c r="G9" s="1078" t="s">
        <v>12</v>
      </c>
      <c r="H9" s="1079">
        <v>483610.93514000002</v>
      </c>
      <c r="I9" s="1080"/>
      <c r="J9" s="1081">
        <v>0</v>
      </c>
      <c r="K9" s="1081">
        <v>0</v>
      </c>
      <c r="L9" s="1083">
        <f>+H9-J9</f>
        <v>483610.93514000002</v>
      </c>
      <c r="M9" s="1108">
        <f t="shared" si="0"/>
        <v>0</v>
      </c>
    </row>
    <row r="10" spans="1:13" ht="44.25" customHeight="1" x14ac:dyDescent="0.2">
      <c r="A10" s="1078">
        <v>4</v>
      </c>
      <c r="B10" s="1077" t="s">
        <v>151</v>
      </c>
      <c r="C10" s="1078" t="s">
        <v>14</v>
      </c>
      <c r="D10" s="1079">
        <v>2250000</v>
      </c>
      <c r="E10" s="1078">
        <v>2016</v>
      </c>
      <c r="F10" s="1078" t="s">
        <v>37</v>
      </c>
      <c r="G10" s="1078" t="s">
        <v>15</v>
      </c>
      <c r="H10" s="1084">
        <v>2133292.548</v>
      </c>
      <c r="I10" s="1080"/>
      <c r="J10" s="1081">
        <v>17.7</v>
      </c>
      <c r="K10" s="1081" t="s">
        <v>265</v>
      </c>
      <c r="L10" s="1083">
        <f>+H10-J10</f>
        <v>2133274.8479999998</v>
      </c>
      <c r="M10" s="1108">
        <f t="shared" si="0"/>
        <v>17.700000000186265</v>
      </c>
    </row>
    <row r="11" spans="1:13" ht="38.25" customHeight="1" x14ac:dyDescent="0.2">
      <c r="A11" s="1078">
        <v>5</v>
      </c>
      <c r="B11" s="1077" t="s">
        <v>150</v>
      </c>
      <c r="C11" s="1078" t="s">
        <v>14</v>
      </c>
      <c r="D11" s="1079">
        <v>1070000</v>
      </c>
      <c r="E11" s="1078">
        <v>2016</v>
      </c>
      <c r="F11" s="1078" t="s">
        <v>37</v>
      </c>
      <c r="G11" s="1078" t="s">
        <v>15</v>
      </c>
      <c r="H11" s="1084">
        <v>1023712.044</v>
      </c>
      <c r="I11" s="1080"/>
      <c r="J11" s="1081">
        <v>3183.473</v>
      </c>
      <c r="K11" s="1081" t="s">
        <v>265</v>
      </c>
      <c r="L11" s="1083">
        <f>H11-J11</f>
        <v>1020528.571</v>
      </c>
      <c r="M11" s="1108">
        <f t="shared" si="0"/>
        <v>3183.4729999999981</v>
      </c>
    </row>
    <row r="12" spans="1:13" ht="45.75" customHeight="1" x14ac:dyDescent="0.2">
      <c r="A12" s="1078">
        <v>6</v>
      </c>
      <c r="B12" s="1077" t="s">
        <v>17</v>
      </c>
      <c r="C12" s="1078" t="s">
        <v>18</v>
      </c>
      <c r="D12" s="1079">
        <f>530000000/1000</f>
        <v>530000</v>
      </c>
      <c r="E12" s="1078">
        <v>2017</v>
      </c>
      <c r="F12" s="1078" t="s">
        <v>36</v>
      </c>
      <c r="G12" s="1078" t="s">
        <v>15</v>
      </c>
      <c r="H12" s="1079">
        <v>121999.067</v>
      </c>
      <c r="I12" s="1080"/>
      <c r="J12" s="1081">
        <v>0</v>
      </c>
      <c r="K12" s="1081">
        <v>0</v>
      </c>
      <c r="L12" s="1083">
        <f>+H12-J12</f>
        <v>121999.067</v>
      </c>
      <c r="M12" s="1108">
        <f t="shared" si="0"/>
        <v>0</v>
      </c>
    </row>
    <row r="13" spans="1:13" ht="55.5" customHeight="1" x14ac:dyDescent="0.2">
      <c r="A13" s="1078">
        <v>7</v>
      </c>
      <c r="B13" s="1077" t="s">
        <v>41</v>
      </c>
      <c r="C13" s="1078" t="s">
        <v>11</v>
      </c>
      <c r="D13" s="1079">
        <f>200000000/1000</f>
        <v>200000</v>
      </c>
      <c r="E13" s="1078">
        <v>2012</v>
      </c>
      <c r="F13" s="1078" t="s">
        <v>35</v>
      </c>
      <c r="G13" s="1085" t="s">
        <v>24</v>
      </c>
      <c r="H13" s="1079">
        <v>200000</v>
      </c>
      <c r="I13" s="1080"/>
      <c r="J13" s="1081">
        <v>0</v>
      </c>
      <c r="K13" s="1081">
        <v>0</v>
      </c>
      <c r="L13" s="1083">
        <v>200000</v>
      </c>
      <c r="M13" s="1108">
        <f t="shared" si="0"/>
        <v>0</v>
      </c>
    </row>
    <row r="14" spans="1:13" ht="58.5" customHeight="1" x14ac:dyDescent="0.2">
      <c r="A14" s="1109">
        <v>8</v>
      </c>
      <c r="B14" s="1086" t="s">
        <v>22</v>
      </c>
      <c r="C14" s="1078" t="s">
        <v>23</v>
      </c>
      <c r="D14" s="1087">
        <v>10000</v>
      </c>
      <c r="E14" s="1088">
        <v>2009</v>
      </c>
      <c r="F14" s="1089" t="s">
        <v>34</v>
      </c>
      <c r="G14" s="1090" t="s">
        <v>25</v>
      </c>
      <c r="H14" s="1091">
        <v>10000</v>
      </c>
      <c r="I14" s="1092"/>
      <c r="J14" s="1081">
        <v>0</v>
      </c>
      <c r="K14" s="1081">
        <v>0</v>
      </c>
      <c r="L14" s="1083">
        <f>+H14-J14</f>
        <v>10000</v>
      </c>
      <c r="M14" s="1108">
        <f t="shared" si="0"/>
        <v>0</v>
      </c>
    </row>
    <row r="15" spans="1:13" s="1062" customFormat="1" ht="38.25" customHeight="1" x14ac:dyDescent="0.2">
      <c r="A15" s="1109">
        <v>9</v>
      </c>
      <c r="B15" s="1086" t="s">
        <v>19</v>
      </c>
      <c r="C15" s="1090" t="s">
        <v>20</v>
      </c>
      <c r="D15" s="1087">
        <v>50000</v>
      </c>
      <c r="E15" s="1088">
        <v>2009</v>
      </c>
      <c r="F15" s="1088" t="s">
        <v>21</v>
      </c>
      <c r="G15" s="1093" t="s">
        <v>280</v>
      </c>
      <c r="H15" s="1091">
        <v>49875.1873416667</v>
      </c>
      <c r="I15" s="1092"/>
      <c r="J15" s="1081">
        <v>49875.1873416667</v>
      </c>
      <c r="K15" s="1081">
        <v>124.812658333331</v>
      </c>
      <c r="L15" s="1083">
        <v>39900.149873333299</v>
      </c>
      <c r="M15" s="1108">
        <f t="shared" si="0"/>
        <v>9975.0374683334012</v>
      </c>
    </row>
    <row r="16" spans="1:13" ht="34.5" customHeight="1" x14ac:dyDescent="0.2">
      <c r="A16" s="1109">
        <v>10</v>
      </c>
      <c r="B16" s="1086" t="s">
        <v>26</v>
      </c>
      <c r="C16" s="1090" t="s">
        <v>27</v>
      </c>
      <c r="D16" s="1087">
        <v>1165000</v>
      </c>
      <c r="E16" s="1088">
        <v>2019</v>
      </c>
      <c r="F16" s="1088" t="s">
        <v>33</v>
      </c>
      <c r="G16" s="1094">
        <v>0.02</v>
      </c>
      <c r="H16" s="1091">
        <v>953000</v>
      </c>
      <c r="I16" s="1092"/>
      <c r="J16" s="1081">
        <f>7000*4</f>
        <v>28000</v>
      </c>
      <c r="K16" s="1081">
        <v>0</v>
      </c>
      <c r="L16" s="1083">
        <f>+H16-J16</f>
        <v>925000</v>
      </c>
      <c r="M16" s="1108">
        <f t="shared" si="0"/>
        <v>28000</v>
      </c>
    </row>
    <row r="17" spans="1:13" ht="43.5" hidden="1" customHeight="1" x14ac:dyDescent="0.2">
      <c r="A17" s="1109">
        <v>11</v>
      </c>
      <c r="B17" s="1086" t="s">
        <v>26</v>
      </c>
      <c r="C17" s="1090" t="s">
        <v>174</v>
      </c>
      <c r="D17" s="1095">
        <v>1165000</v>
      </c>
      <c r="E17" s="1088">
        <v>2019</v>
      </c>
      <c r="F17" s="1088" t="s">
        <v>175</v>
      </c>
      <c r="G17" s="1094">
        <v>0.02</v>
      </c>
      <c r="H17" s="1092">
        <v>0</v>
      </c>
      <c r="I17" s="1092">
        <v>1000000</v>
      </c>
      <c r="J17" s="1096">
        <v>0</v>
      </c>
      <c r="K17" s="1097">
        <v>0</v>
      </c>
      <c r="L17" s="1098"/>
      <c r="M17" s="1110"/>
    </row>
    <row r="18" spans="1:13" ht="18" x14ac:dyDescent="0.2">
      <c r="A18" s="1129" t="s">
        <v>81</v>
      </c>
      <c r="B18" s="1130"/>
      <c r="C18" s="1090"/>
      <c r="D18" s="1089"/>
      <c r="E18" s="1088"/>
      <c r="F18" s="1088"/>
      <c r="G18" s="1094"/>
      <c r="H18" s="1111">
        <f>SUM(H7:H17)</f>
        <v>5057500.3384816665</v>
      </c>
      <c r="I18" s="1111">
        <f>SUM(I6:I17)</f>
        <v>1000000</v>
      </c>
      <c r="J18" s="1111">
        <f>SUM(J7:J16)</f>
        <v>104077.30134166669</v>
      </c>
      <c r="K18" s="1111">
        <f>SUM(K7:K16)</f>
        <v>9486.0497383333295</v>
      </c>
      <c r="L18" s="1112">
        <f>SUM(L7:L17)</f>
        <v>4993323.1870133337</v>
      </c>
      <c r="M18" s="1113">
        <f>SUM(M7:M17)</f>
        <v>64177.151468333584</v>
      </c>
    </row>
    <row r="19" spans="1:13" s="1065" customFormat="1" ht="18.75" thickBot="1" x14ac:dyDescent="0.25">
      <c r="A19" s="1099"/>
      <c r="B19" s="1099"/>
      <c r="C19" s="1099"/>
      <c r="D19" s="1100"/>
      <c r="E19" s="1101"/>
      <c r="F19" s="1101"/>
      <c r="G19" s="1102"/>
      <c r="H19" s="1072"/>
      <c r="I19" s="1072"/>
      <c r="J19" s="1072"/>
      <c r="K19" s="1072"/>
      <c r="L19" s="1072"/>
      <c r="M19" s="1072"/>
    </row>
    <row r="20" spans="1:13" ht="42" customHeight="1" thickBot="1" x14ac:dyDescent="0.3">
      <c r="A20" s="1103"/>
      <c r="B20" s="1131" t="s">
        <v>147</v>
      </c>
      <c r="C20" s="1132"/>
      <c r="D20" s="1132"/>
      <c r="E20" s="1132"/>
      <c r="F20" s="1132"/>
      <c r="G20" s="1114">
        <v>103984</v>
      </c>
      <c r="H20" s="1073"/>
      <c r="I20" s="1074"/>
      <c r="J20" s="1138" t="s">
        <v>293</v>
      </c>
      <c r="K20" s="1139"/>
      <c r="L20" s="1120">
        <f>+L18-H18</f>
        <v>-64177.151468332857</v>
      </c>
      <c r="M20" s="1121"/>
    </row>
    <row r="21" spans="1:13" ht="18.75" thickBot="1" x14ac:dyDescent="0.3">
      <c r="A21" s="1103"/>
      <c r="B21" s="1133" t="s">
        <v>145</v>
      </c>
      <c r="C21" s="1134"/>
      <c r="D21" s="1134"/>
      <c r="E21" s="1134"/>
      <c r="F21" s="1135"/>
      <c r="G21" s="1115">
        <f>L18/G20/1000</f>
        <v>4.8020110661383807E-2</v>
      </c>
      <c r="H21" s="1104"/>
      <c r="I21" s="1105"/>
      <c r="J21" s="1140" t="s">
        <v>291</v>
      </c>
      <c r="K21" s="1141"/>
      <c r="L21" s="1122">
        <f>+J18+K18</f>
        <v>113563.35108000002</v>
      </c>
      <c r="M21" s="1123"/>
    </row>
    <row r="22" spans="1:13" ht="31.5" customHeight="1" thickBot="1" x14ac:dyDescent="0.3">
      <c r="A22" s="1103"/>
      <c r="B22" s="1136" t="s">
        <v>146</v>
      </c>
      <c r="C22" s="1137"/>
      <c r="D22" s="1137"/>
      <c r="E22" s="1137"/>
      <c r="F22" s="1137"/>
      <c r="G22" s="1116">
        <f>+L18/12.96</f>
        <v>385287.28294855967</v>
      </c>
      <c r="H22" s="1075"/>
      <c r="I22" s="1076"/>
      <c r="J22" s="1142"/>
      <c r="K22" s="1143"/>
      <c r="L22" s="1124"/>
      <c r="M22" s="1125"/>
    </row>
    <row r="23" spans="1:13" x14ac:dyDescent="0.2">
      <c r="D23" s="1064"/>
    </row>
    <row r="24" spans="1:13" ht="46.5" customHeight="1" x14ac:dyDescent="0.2">
      <c r="A24" s="1128"/>
      <c r="B24" s="1128"/>
      <c r="C24" s="1128"/>
      <c r="D24" s="1128"/>
      <c r="E24" s="1128"/>
      <c r="F24" s="1128"/>
      <c r="G24" s="1128"/>
      <c r="H24" s="1128"/>
      <c r="I24" s="1128"/>
      <c r="J24" s="1128"/>
      <c r="K24" s="1128"/>
      <c r="L24" s="1128"/>
      <c r="M24" s="1068"/>
    </row>
    <row r="25" spans="1:13" x14ac:dyDescent="0.2">
      <c r="E25" s="1064"/>
      <c r="F25" s="11"/>
    </row>
    <row r="26" spans="1:13" x14ac:dyDescent="0.2">
      <c r="J26" s="1067"/>
    </row>
    <row r="27" spans="1:13" x14ac:dyDescent="0.2">
      <c r="G27" s="12"/>
      <c r="H27" s="1066"/>
    </row>
  </sheetData>
  <mergeCells count="12">
    <mergeCell ref="A24:L24"/>
    <mergeCell ref="A18:B18"/>
    <mergeCell ref="B20:F20"/>
    <mergeCell ref="B21:F21"/>
    <mergeCell ref="B22:F22"/>
    <mergeCell ref="J20:K20"/>
    <mergeCell ref="J21:K22"/>
    <mergeCell ref="L1:M1"/>
    <mergeCell ref="A5:M5"/>
    <mergeCell ref="L20:M20"/>
    <mergeCell ref="L21:M22"/>
    <mergeCell ref="B4:L4"/>
  </mergeCells>
  <pageMargins left="0.55118110236220474" right="0.19685039370078741" top="0.59055118110236227" bottom="0.19685039370078741" header="0.19685039370078741" footer="0.19685039370078741"/>
  <pageSetup paperSize="9" scale="53"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V73"/>
  <sheetViews>
    <sheetView topLeftCell="A4" zoomScale="70" zoomScaleNormal="70" zoomScaleSheetLayoutView="70" workbookViewId="0">
      <selection activeCell="A64" sqref="A64:E64"/>
    </sheetView>
  </sheetViews>
  <sheetFormatPr defaultRowHeight="40.5" customHeight="1" x14ac:dyDescent="0.4"/>
  <cols>
    <col min="1" max="1" width="6" style="229" customWidth="1"/>
    <col min="2" max="2" width="30.5703125" style="229" customWidth="1"/>
    <col min="3" max="3" width="29.42578125" style="229" customWidth="1"/>
    <col min="4" max="5" width="21.28515625" style="229" customWidth="1"/>
    <col min="6" max="6" width="20.28515625" style="229" customWidth="1"/>
    <col min="7" max="7" width="27.42578125" style="229" customWidth="1"/>
    <col min="8" max="8" width="28.42578125" style="229" customWidth="1"/>
    <col min="9" max="9" width="25.42578125" style="229" customWidth="1"/>
    <col min="10" max="10" width="27.7109375" style="229" customWidth="1"/>
    <col min="11" max="11" width="25.42578125" style="229" bestFit="1" customWidth="1"/>
    <col min="12" max="12" width="25.7109375" style="229" bestFit="1" customWidth="1"/>
    <col min="13" max="13" width="19.42578125" style="229" bestFit="1" customWidth="1"/>
    <col min="14" max="14" width="23.85546875" style="229" bestFit="1" customWidth="1"/>
    <col min="15" max="256" width="9.140625" style="229"/>
    <col min="257" max="257" width="6" style="229" customWidth="1"/>
    <col min="258" max="258" width="25.42578125" style="229" customWidth="1"/>
    <col min="259" max="259" width="26.140625" style="229" customWidth="1"/>
    <col min="260" max="260" width="14.85546875" style="229" customWidth="1"/>
    <col min="261" max="261" width="14.5703125" style="229" customWidth="1"/>
    <col min="262" max="262" width="15.28515625" style="229" customWidth="1"/>
    <col min="263" max="264" width="27.42578125" style="229" customWidth="1"/>
    <col min="265" max="265" width="25.42578125" style="229" customWidth="1"/>
    <col min="266" max="266" width="27.7109375" style="229" customWidth="1"/>
    <col min="267" max="267" width="25.42578125" style="229" bestFit="1" customWidth="1"/>
    <col min="268" max="512" width="9.140625" style="229"/>
    <col min="513" max="513" width="6" style="229" customWidth="1"/>
    <col min="514" max="514" width="25.42578125" style="229" customWidth="1"/>
    <col min="515" max="515" width="26.140625" style="229" customWidth="1"/>
    <col min="516" max="516" width="14.85546875" style="229" customWidth="1"/>
    <col min="517" max="517" width="14.5703125" style="229" customWidth="1"/>
    <col min="518" max="518" width="15.28515625" style="229" customWidth="1"/>
    <col min="519" max="520" width="27.42578125" style="229" customWidth="1"/>
    <col min="521" max="521" width="25.42578125" style="229" customWidth="1"/>
    <col min="522" max="522" width="27.7109375" style="229" customWidth="1"/>
    <col min="523" max="523" width="25.42578125" style="229" bestFit="1" customWidth="1"/>
    <col min="524" max="768" width="9.140625" style="229"/>
    <col min="769" max="769" width="6" style="229" customWidth="1"/>
    <col min="770" max="770" width="25.42578125" style="229" customWidth="1"/>
    <col min="771" max="771" width="26.140625" style="229" customWidth="1"/>
    <col min="772" max="772" width="14.85546875" style="229" customWidth="1"/>
    <col min="773" max="773" width="14.5703125" style="229" customWidth="1"/>
    <col min="774" max="774" width="15.28515625" style="229" customWidth="1"/>
    <col min="775" max="776" width="27.42578125" style="229" customWidth="1"/>
    <col min="777" max="777" width="25.42578125" style="229" customWidth="1"/>
    <col min="778" max="778" width="27.7109375" style="229" customWidth="1"/>
    <col min="779" max="779" width="25.42578125" style="229" bestFit="1" customWidth="1"/>
    <col min="780" max="1024" width="9.140625" style="229"/>
    <col min="1025" max="1025" width="6" style="229" customWidth="1"/>
    <col min="1026" max="1026" width="25.42578125" style="229" customWidth="1"/>
    <col min="1027" max="1027" width="26.140625" style="229" customWidth="1"/>
    <col min="1028" max="1028" width="14.85546875" style="229" customWidth="1"/>
    <col min="1029" max="1029" width="14.5703125" style="229" customWidth="1"/>
    <col min="1030" max="1030" width="15.28515625" style="229" customWidth="1"/>
    <col min="1031" max="1032" width="27.42578125" style="229" customWidth="1"/>
    <col min="1033" max="1033" width="25.42578125" style="229" customWidth="1"/>
    <col min="1034" max="1034" width="27.7109375" style="229" customWidth="1"/>
    <col min="1035" max="1035" width="25.42578125" style="229" bestFit="1" customWidth="1"/>
    <col min="1036" max="1280" width="9.140625" style="229"/>
    <col min="1281" max="1281" width="6" style="229" customWidth="1"/>
    <col min="1282" max="1282" width="25.42578125" style="229" customWidth="1"/>
    <col min="1283" max="1283" width="26.140625" style="229" customWidth="1"/>
    <col min="1284" max="1284" width="14.85546875" style="229" customWidth="1"/>
    <col min="1285" max="1285" width="14.5703125" style="229" customWidth="1"/>
    <col min="1286" max="1286" width="15.28515625" style="229" customWidth="1"/>
    <col min="1287" max="1288" width="27.42578125" style="229" customWidth="1"/>
    <col min="1289" max="1289" width="25.42578125" style="229" customWidth="1"/>
    <col min="1290" max="1290" width="27.7109375" style="229" customWidth="1"/>
    <col min="1291" max="1291" width="25.42578125" style="229" bestFit="1" customWidth="1"/>
    <col min="1292" max="1536" width="9.140625" style="229"/>
    <col min="1537" max="1537" width="6" style="229" customWidth="1"/>
    <col min="1538" max="1538" width="25.42578125" style="229" customWidth="1"/>
    <col min="1539" max="1539" width="26.140625" style="229" customWidth="1"/>
    <col min="1540" max="1540" width="14.85546875" style="229" customWidth="1"/>
    <col min="1541" max="1541" width="14.5703125" style="229" customWidth="1"/>
    <col min="1542" max="1542" width="15.28515625" style="229" customWidth="1"/>
    <col min="1543" max="1544" width="27.42578125" style="229" customWidth="1"/>
    <col min="1545" max="1545" width="25.42578125" style="229" customWidth="1"/>
    <col min="1546" max="1546" width="27.7109375" style="229" customWidth="1"/>
    <col min="1547" max="1547" width="25.42578125" style="229" bestFit="1" customWidth="1"/>
    <col min="1548" max="1792" width="9.140625" style="229"/>
    <col min="1793" max="1793" width="6" style="229" customWidth="1"/>
    <col min="1794" max="1794" width="25.42578125" style="229" customWidth="1"/>
    <col min="1795" max="1795" width="26.140625" style="229" customWidth="1"/>
    <col min="1796" max="1796" width="14.85546875" style="229" customWidth="1"/>
    <col min="1797" max="1797" width="14.5703125" style="229" customWidth="1"/>
    <col min="1798" max="1798" width="15.28515625" style="229" customWidth="1"/>
    <col min="1799" max="1800" width="27.42578125" style="229" customWidth="1"/>
    <col min="1801" max="1801" width="25.42578125" style="229" customWidth="1"/>
    <col min="1802" max="1802" width="27.7109375" style="229" customWidth="1"/>
    <col min="1803" max="1803" width="25.42578125" style="229" bestFit="1" customWidth="1"/>
    <col min="1804" max="2048" width="9.140625" style="229"/>
    <col min="2049" max="2049" width="6" style="229" customWidth="1"/>
    <col min="2050" max="2050" width="25.42578125" style="229" customWidth="1"/>
    <col min="2051" max="2051" width="26.140625" style="229" customWidth="1"/>
    <col min="2052" max="2052" width="14.85546875" style="229" customWidth="1"/>
    <col min="2053" max="2053" width="14.5703125" style="229" customWidth="1"/>
    <col min="2054" max="2054" width="15.28515625" style="229" customWidth="1"/>
    <col min="2055" max="2056" width="27.42578125" style="229" customWidth="1"/>
    <col min="2057" max="2057" width="25.42578125" style="229" customWidth="1"/>
    <col min="2058" max="2058" width="27.7109375" style="229" customWidth="1"/>
    <col min="2059" max="2059" width="25.42578125" style="229" bestFit="1" customWidth="1"/>
    <col min="2060" max="2304" width="9.140625" style="229"/>
    <col min="2305" max="2305" width="6" style="229" customWidth="1"/>
    <col min="2306" max="2306" width="25.42578125" style="229" customWidth="1"/>
    <col min="2307" max="2307" width="26.140625" style="229" customWidth="1"/>
    <col min="2308" max="2308" width="14.85546875" style="229" customWidth="1"/>
    <col min="2309" max="2309" width="14.5703125" style="229" customWidth="1"/>
    <col min="2310" max="2310" width="15.28515625" style="229" customWidth="1"/>
    <col min="2311" max="2312" width="27.42578125" style="229" customWidth="1"/>
    <col min="2313" max="2313" width="25.42578125" style="229" customWidth="1"/>
    <col min="2314" max="2314" width="27.7109375" style="229" customWidth="1"/>
    <col min="2315" max="2315" width="25.42578125" style="229" bestFit="1" customWidth="1"/>
    <col min="2316" max="2560" width="9.140625" style="229"/>
    <col min="2561" max="2561" width="6" style="229" customWidth="1"/>
    <col min="2562" max="2562" width="25.42578125" style="229" customWidth="1"/>
    <col min="2563" max="2563" width="26.140625" style="229" customWidth="1"/>
    <col min="2564" max="2564" width="14.85546875" style="229" customWidth="1"/>
    <col min="2565" max="2565" width="14.5703125" style="229" customWidth="1"/>
    <col min="2566" max="2566" width="15.28515625" style="229" customWidth="1"/>
    <col min="2567" max="2568" width="27.42578125" style="229" customWidth="1"/>
    <col min="2569" max="2569" width="25.42578125" style="229" customWidth="1"/>
    <col min="2570" max="2570" width="27.7109375" style="229" customWidth="1"/>
    <col min="2571" max="2571" width="25.42578125" style="229" bestFit="1" customWidth="1"/>
    <col min="2572" max="2816" width="9.140625" style="229"/>
    <col min="2817" max="2817" width="6" style="229" customWidth="1"/>
    <col min="2818" max="2818" width="25.42578125" style="229" customWidth="1"/>
    <col min="2819" max="2819" width="26.140625" style="229" customWidth="1"/>
    <col min="2820" max="2820" width="14.85546875" style="229" customWidth="1"/>
    <col min="2821" max="2821" width="14.5703125" style="229" customWidth="1"/>
    <col min="2822" max="2822" width="15.28515625" style="229" customWidth="1"/>
    <col min="2823" max="2824" width="27.42578125" style="229" customWidth="1"/>
    <col min="2825" max="2825" width="25.42578125" style="229" customWidth="1"/>
    <col min="2826" max="2826" width="27.7109375" style="229" customWidth="1"/>
    <col min="2827" max="2827" width="25.42578125" style="229" bestFit="1" customWidth="1"/>
    <col min="2828" max="3072" width="9.140625" style="229"/>
    <col min="3073" max="3073" width="6" style="229" customWidth="1"/>
    <col min="3074" max="3074" width="25.42578125" style="229" customWidth="1"/>
    <col min="3075" max="3075" width="26.140625" style="229" customWidth="1"/>
    <col min="3076" max="3076" width="14.85546875" style="229" customWidth="1"/>
    <col min="3077" max="3077" width="14.5703125" style="229" customWidth="1"/>
    <col min="3078" max="3078" width="15.28515625" style="229" customWidth="1"/>
    <col min="3079" max="3080" width="27.42578125" style="229" customWidth="1"/>
    <col min="3081" max="3081" width="25.42578125" style="229" customWidth="1"/>
    <col min="3082" max="3082" width="27.7109375" style="229" customWidth="1"/>
    <col min="3083" max="3083" width="25.42578125" style="229" bestFit="1" customWidth="1"/>
    <col min="3084" max="3328" width="9.140625" style="229"/>
    <col min="3329" max="3329" width="6" style="229" customWidth="1"/>
    <col min="3330" max="3330" width="25.42578125" style="229" customWidth="1"/>
    <col min="3331" max="3331" width="26.140625" style="229" customWidth="1"/>
    <col min="3332" max="3332" width="14.85546875" style="229" customWidth="1"/>
    <col min="3333" max="3333" width="14.5703125" style="229" customWidth="1"/>
    <col min="3334" max="3334" width="15.28515625" style="229" customWidth="1"/>
    <col min="3335" max="3336" width="27.42578125" style="229" customWidth="1"/>
    <col min="3337" max="3337" width="25.42578125" style="229" customWidth="1"/>
    <col min="3338" max="3338" width="27.7109375" style="229" customWidth="1"/>
    <col min="3339" max="3339" width="25.42578125" style="229" bestFit="1" customWidth="1"/>
    <col min="3340" max="3584" width="9.140625" style="229"/>
    <col min="3585" max="3585" width="6" style="229" customWidth="1"/>
    <col min="3586" max="3586" width="25.42578125" style="229" customWidth="1"/>
    <col min="3587" max="3587" width="26.140625" style="229" customWidth="1"/>
    <col min="3588" max="3588" width="14.85546875" style="229" customWidth="1"/>
    <col min="3589" max="3589" width="14.5703125" style="229" customWidth="1"/>
    <col min="3590" max="3590" width="15.28515625" style="229" customWidth="1"/>
    <col min="3591" max="3592" width="27.42578125" style="229" customWidth="1"/>
    <col min="3593" max="3593" width="25.42578125" style="229" customWidth="1"/>
    <col min="3594" max="3594" width="27.7109375" style="229" customWidth="1"/>
    <col min="3595" max="3595" width="25.42578125" style="229" bestFit="1" customWidth="1"/>
    <col min="3596" max="3840" width="9.140625" style="229"/>
    <col min="3841" max="3841" width="6" style="229" customWidth="1"/>
    <col min="3842" max="3842" width="25.42578125" style="229" customWidth="1"/>
    <col min="3843" max="3843" width="26.140625" style="229" customWidth="1"/>
    <col min="3844" max="3844" width="14.85546875" style="229" customWidth="1"/>
    <col min="3845" max="3845" width="14.5703125" style="229" customWidth="1"/>
    <col min="3846" max="3846" width="15.28515625" style="229" customWidth="1"/>
    <col min="3847" max="3848" width="27.42578125" style="229" customWidth="1"/>
    <col min="3849" max="3849" width="25.42578125" style="229" customWidth="1"/>
    <col min="3850" max="3850" width="27.7109375" style="229" customWidth="1"/>
    <col min="3851" max="3851" width="25.42578125" style="229" bestFit="1" customWidth="1"/>
    <col min="3852" max="4096" width="9.140625" style="229"/>
    <col min="4097" max="4097" width="6" style="229" customWidth="1"/>
    <col min="4098" max="4098" width="25.42578125" style="229" customWidth="1"/>
    <col min="4099" max="4099" width="26.140625" style="229" customWidth="1"/>
    <col min="4100" max="4100" width="14.85546875" style="229" customWidth="1"/>
    <col min="4101" max="4101" width="14.5703125" style="229" customWidth="1"/>
    <col min="4102" max="4102" width="15.28515625" style="229" customWidth="1"/>
    <col min="4103" max="4104" width="27.42578125" style="229" customWidth="1"/>
    <col min="4105" max="4105" width="25.42578125" style="229" customWidth="1"/>
    <col min="4106" max="4106" width="27.7109375" style="229" customWidth="1"/>
    <col min="4107" max="4107" width="25.42578125" style="229" bestFit="1" customWidth="1"/>
    <col min="4108" max="4352" width="9.140625" style="229"/>
    <col min="4353" max="4353" width="6" style="229" customWidth="1"/>
    <col min="4354" max="4354" width="25.42578125" style="229" customWidth="1"/>
    <col min="4355" max="4355" width="26.140625" style="229" customWidth="1"/>
    <col min="4356" max="4356" width="14.85546875" style="229" customWidth="1"/>
    <col min="4357" max="4357" width="14.5703125" style="229" customWidth="1"/>
    <col min="4358" max="4358" width="15.28515625" style="229" customWidth="1"/>
    <col min="4359" max="4360" width="27.42578125" style="229" customWidth="1"/>
    <col min="4361" max="4361" width="25.42578125" style="229" customWidth="1"/>
    <col min="4362" max="4362" width="27.7109375" style="229" customWidth="1"/>
    <col min="4363" max="4363" width="25.42578125" style="229" bestFit="1" customWidth="1"/>
    <col min="4364" max="4608" width="9.140625" style="229"/>
    <col min="4609" max="4609" width="6" style="229" customWidth="1"/>
    <col min="4610" max="4610" width="25.42578125" style="229" customWidth="1"/>
    <col min="4611" max="4611" width="26.140625" style="229" customWidth="1"/>
    <col min="4612" max="4612" width="14.85546875" style="229" customWidth="1"/>
    <col min="4613" max="4613" width="14.5703125" style="229" customWidth="1"/>
    <col min="4614" max="4614" width="15.28515625" style="229" customWidth="1"/>
    <col min="4615" max="4616" width="27.42578125" style="229" customWidth="1"/>
    <col min="4617" max="4617" width="25.42578125" style="229" customWidth="1"/>
    <col min="4618" max="4618" width="27.7109375" style="229" customWidth="1"/>
    <col min="4619" max="4619" width="25.42578125" style="229" bestFit="1" customWidth="1"/>
    <col min="4620" max="4864" width="9.140625" style="229"/>
    <col min="4865" max="4865" width="6" style="229" customWidth="1"/>
    <col min="4866" max="4866" width="25.42578125" style="229" customWidth="1"/>
    <col min="4867" max="4867" width="26.140625" style="229" customWidth="1"/>
    <col min="4868" max="4868" width="14.85546875" style="229" customWidth="1"/>
    <col min="4869" max="4869" width="14.5703125" style="229" customWidth="1"/>
    <col min="4870" max="4870" width="15.28515625" style="229" customWidth="1"/>
    <col min="4871" max="4872" width="27.42578125" style="229" customWidth="1"/>
    <col min="4873" max="4873" width="25.42578125" style="229" customWidth="1"/>
    <col min="4874" max="4874" width="27.7109375" style="229" customWidth="1"/>
    <col min="4875" max="4875" width="25.42578125" style="229" bestFit="1" customWidth="1"/>
    <col min="4876" max="5120" width="9.140625" style="229"/>
    <col min="5121" max="5121" width="6" style="229" customWidth="1"/>
    <col min="5122" max="5122" width="25.42578125" style="229" customWidth="1"/>
    <col min="5123" max="5123" width="26.140625" style="229" customWidth="1"/>
    <col min="5124" max="5124" width="14.85546875" style="229" customWidth="1"/>
    <col min="5125" max="5125" width="14.5703125" style="229" customWidth="1"/>
    <col min="5126" max="5126" width="15.28515625" style="229" customWidth="1"/>
    <col min="5127" max="5128" width="27.42578125" style="229" customWidth="1"/>
    <col min="5129" max="5129" width="25.42578125" style="229" customWidth="1"/>
    <col min="5130" max="5130" width="27.7109375" style="229" customWidth="1"/>
    <col min="5131" max="5131" width="25.42578125" style="229" bestFit="1" customWidth="1"/>
    <col min="5132" max="5376" width="9.140625" style="229"/>
    <col min="5377" max="5377" width="6" style="229" customWidth="1"/>
    <col min="5378" max="5378" width="25.42578125" style="229" customWidth="1"/>
    <col min="5379" max="5379" width="26.140625" style="229" customWidth="1"/>
    <col min="5380" max="5380" width="14.85546875" style="229" customWidth="1"/>
    <col min="5381" max="5381" width="14.5703125" style="229" customWidth="1"/>
    <col min="5382" max="5382" width="15.28515625" style="229" customWidth="1"/>
    <col min="5383" max="5384" width="27.42578125" style="229" customWidth="1"/>
    <col min="5385" max="5385" width="25.42578125" style="229" customWidth="1"/>
    <col min="5386" max="5386" width="27.7109375" style="229" customWidth="1"/>
    <col min="5387" max="5387" width="25.42578125" style="229" bestFit="1" customWidth="1"/>
    <col min="5388" max="5632" width="9.140625" style="229"/>
    <col min="5633" max="5633" width="6" style="229" customWidth="1"/>
    <col min="5634" max="5634" width="25.42578125" style="229" customWidth="1"/>
    <col min="5635" max="5635" width="26.140625" style="229" customWidth="1"/>
    <col min="5636" max="5636" width="14.85546875" style="229" customWidth="1"/>
    <col min="5637" max="5637" width="14.5703125" style="229" customWidth="1"/>
    <col min="5638" max="5638" width="15.28515625" style="229" customWidth="1"/>
    <col min="5639" max="5640" width="27.42578125" style="229" customWidth="1"/>
    <col min="5641" max="5641" width="25.42578125" style="229" customWidth="1"/>
    <col min="5642" max="5642" width="27.7109375" style="229" customWidth="1"/>
    <col min="5643" max="5643" width="25.42578125" style="229" bestFit="1" customWidth="1"/>
    <col min="5644" max="5888" width="9.140625" style="229"/>
    <col min="5889" max="5889" width="6" style="229" customWidth="1"/>
    <col min="5890" max="5890" width="25.42578125" style="229" customWidth="1"/>
    <col min="5891" max="5891" width="26.140625" style="229" customWidth="1"/>
    <col min="5892" max="5892" width="14.85546875" style="229" customWidth="1"/>
    <col min="5893" max="5893" width="14.5703125" style="229" customWidth="1"/>
    <col min="5894" max="5894" width="15.28515625" style="229" customWidth="1"/>
    <col min="5895" max="5896" width="27.42578125" style="229" customWidth="1"/>
    <col min="5897" max="5897" width="25.42578125" style="229" customWidth="1"/>
    <col min="5898" max="5898" width="27.7109375" style="229" customWidth="1"/>
    <col min="5899" max="5899" width="25.42578125" style="229" bestFit="1" customWidth="1"/>
    <col min="5900" max="6144" width="9.140625" style="229"/>
    <col min="6145" max="6145" width="6" style="229" customWidth="1"/>
    <col min="6146" max="6146" width="25.42578125" style="229" customWidth="1"/>
    <col min="6147" max="6147" width="26.140625" style="229" customWidth="1"/>
    <col min="6148" max="6148" width="14.85546875" style="229" customWidth="1"/>
    <col min="6149" max="6149" width="14.5703125" style="229" customWidth="1"/>
    <col min="6150" max="6150" width="15.28515625" style="229" customWidth="1"/>
    <col min="6151" max="6152" width="27.42578125" style="229" customWidth="1"/>
    <col min="6153" max="6153" width="25.42578125" style="229" customWidth="1"/>
    <col min="6154" max="6154" width="27.7109375" style="229" customWidth="1"/>
    <col min="6155" max="6155" width="25.42578125" style="229" bestFit="1" customWidth="1"/>
    <col min="6156" max="6400" width="9.140625" style="229"/>
    <col min="6401" max="6401" width="6" style="229" customWidth="1"/>
    <col min="6402" max="6402" width="25.42578125" style="229" customWidth="1"/>
    <col min="6403" max="6403" width="26.140625" style="229" customWidth="1"/>
    <col min="6404" max="6404" width="14.85546875" style="229" customWidth="1"/>
    <col min="6405" max="6405" width="14.5703125" style="229" customWidth="1"/>
    <col min="6406" max="6406" width="15.28515625" style="229" customWidth="1"/>
    <col min="6407" max="6408" width="27.42578125" style="229" customWidth="1"/>
    <col min="6409" max="6409" width="25.42578125" style="229" customWidth="1"/>
    <col min="6410" max="6410" width="27.7109375" style="229" customWidth="1"/>
    <col min="6411" max="6411" width="25.42578125" style="229" bestFit="1" customWidth="1"/>
    <col min="6412" max="6656" width="9.140625" style="229"/>
    <col min="6657" max="6657" width="6" style="229" customWidth="1"/>
    <col min="6658" max="6658" width="25.42578125" style="229" customWidth="1"/>
    <col min="6659" max="6659" width="26.140625" style="229" customWidth="1"/>
    <col min="6660" max="6660" width="14.85546875" style="229" customWidth="1"/>
    <col min="6661" max="6661" width="14.5703125" style="229" customWidth="1"/>
    <col min="6662" max="6662" width="15.28515625" style="229" customWidth="1"/>
    <col min="6663" max="6664" width="27.42578125" style="229" customWidth="1"/>
    <col min="6665" max="6665" width="25.42578125" style="229" customWidth="1"/>
    <col min="6666" max="6666" width="27.7109375" style="229" customWidth="1"/>
    <col min="6667" max="6667" width="25.42578125" style="229" bestFit="1" customWidth="1"/>
    <col min="6668" max="6912" width="9.140625" style="229"/>
    <col min="6913" max="6913" width="6" style="229" customWidth="1"/>
    <col min="6914" max="6914" width="25.42578125" style="229" customWidth="1"/>
    <col min="6915" max="6915" width="26.140625" style="229" customWidth="1"/>
    <col min="6916" max="6916" width="14.85546875" style="229" customWidth="1"/>
    <col min="6917" max="6917" width="14.5703125" style="229" customWidth="1"/>
    <col min="6918" max="6918" width="15.28515625" style="229" customWidth="1"/>
    <col min="6919" max="6920" width="27.42578125" style="229" customWidth="1"/>
    <col min="6921" max="6921" width="25.42578125" style="229" customWidth="1"/>
    <col min="6922" max="6922" width="27.7109375" style="229" customWidth="1"/>
    <col min="6923" max="6923" width="25.42578125" style="229" bestFit="1" customWidth="1"/>
    <col min="6924" max="7168" width="9.140625" style="229"/>
    <col min="7169" max="7169" width="6" style="229" customWidth="1"/>
    <col min="7170" max="7170" width="25.42578125" style="229" customWidth="1"/>
    <col min="7171" max="7171" width="26.140625" style="229" customWidth="1"/>
    <col min="7172" max="7172" width="14.85546875" style="229" customWidth="1"/>
    <col min="7173" max="7173" width="14.5703125" style="229" customWidth="1"/>
    <col min="7174" max="7174" width="15.28515625" style="229" customWidth="1"/>
    <col min="7175" max="7176" width="27.42578125" style="229" customWidth="1"/>
    <col min="7177" max="7177" width="25.42578125" style="229" customWidth="1"/>
    <col min="7178" max="7178" width="27.7109375" style="229" customWidth="1"/>
    <col min="7179" max="7179" width="25.42578125" style="229" bestFit="1" customWidth="1"/>
    <col min="7180" max="7424" width="9.140625" style="229"/>
    <col min="7425" max="7425" width="6" style="229" customWidth="1"/>
    <col min="7426" max="7426" width="25.42578125" style="229" customWidth="1"/>
    <col min="7427" max="7427" width="26.140625" style="229" customWidth="1"/>
    <col min="7428" max="7428" width="14.85546875" style="229" customWidth="1"/>
    <col min="7429" max="7429" width="14.5703125" style="229" customWidth="1"/>
    <col min="7430" max="7430" width="15.28515625" style="229" customWidth="1"/>
    <col min="7431" max="7432" width="27.42578125" style="229" customWidth="1"/>
    <col min="7433" max="7433" width="25.42578125" style="229" customWidth="1"/>
    <col min="7434" max="7434" width="27.7109375" style="229" customWidth="1"/>
    <col min="7435" max="7435" width="25.42578125" style="229" bestFit="1" customWidth="1"/>
    <col min="7436" max="7680" width="9.140625" style="229"/>
    <col min="7681" max="7681" width="6" style="229" customWidth="1"/>
    <col min="7682" max="7682" width="25.42578125" style="229" customWidth="1"/>
    <col min="7683" max="7683" width="26.140625" style="229" customWidth="1"/>
    <col min="7684" max="7684" width="14.85546875" style="229" customWidth="1"/>
    <col min="7685" max="7685" width="14.5703125" style="229" customWidth="1"/>
    <col min="7686" max="7686" width="15.28515625" style="229" customWidth="1"/>
    <col min="7687" max="7688" width="27.42578125" style="229" customWidth="1"/>
    <col min="7689" max="7689" width="25.42578125" style="229" customWidth="1"/>
    <col min="7690" max="7690" width="27.7109375" style="229" customWidth="1"/>
    <col min="7691" max="7691" width="25.42578125" style="229" bestFit="1" customWidth="1"/>
    <col min="7692" max="7936" width="9.140625" style="229"/>
    <col min="7937" max="7937" width="6" style="229" customWidth="1"/>
    <col min="7938" max="7938" width="25.42578125" style="229" customWidth="1"/>
    <col min="7939" max="7939" width="26.140625" style="229" customWidth="1"/>
    <col min="7940" max="7940" width="14.85546875" style="229" customWidth="1"/>
    <col min="7941" max="7941" width="14.5703125" style="229" customWidth="1"/>
    <col min="7942" max="7942" width="15.28515625" style="229" customWidth="1"/>
    <col min="7943" max="7944" width="27.42578125" style="229" customWidth="1"/>
    <col min="7945" max="7945" width="25.42578125" style="229" customWidth="1"/>
    <col min="7946" max="7946" width="27.7109375" style="229" customWidth="1"/>
    <col min="7947" max="7947" width="25.42578125" style="229" bestFit="1" customWidth="1"/>
    <col min="7948" max="8192" width="9.140625" style="229"/>
    <col min="8193" max="8193" width="6" style="229" customWidth="1"/>
    <col min="8194" max="8194" width="25.42578125" style="229" customWidth="1"/>
    <col min="8195" max="8195" width="26.140625" style="229" customWidth="1"/>
    <col min="8196" max="8196" width="14.85546875" style="229" customWidth="1"/>
    <col min="8197" max="8197" width="14.5703125" style="229" customWidth="1"/>
    <col min="8198" max="8198" width="15.28515625" style="229" customWidth="1"/>
    <col min="8199" max="8200" width="27.42578125" style="229" customWidth="1"/>
    <col min="8201" max="8201" width="25.42578125" style="229" customWidth="1"/>
    <col min="8202" max="8202" width="27.7109375" style="229" customWidth="1"/>
    <col min="8203" max="8203" width="25.42578125" style="229" bestFit="1" customWidth="1"/>
    <col min="8204" max="8448" width="9.140625" style="229"/>
    <col min="8449" max="8449" width="6" style="229" customWidth="1"/>
    <col min="8450" max="8450" width="25.42578125" style="229" customWidth="1"/>
    <col min="8451" max="8451" width="26.140625" style="229" customWidth="1"/>
    <col min="8452" max="8452" width="14.85546875" style="229" customWidth="1"/>
    <col min="8453" max="8453" width="14.5703125" style="229" customWidth="1"/>
    <col min="8454" max="8454" width="15.28515625" style="229" customWidth="1"/>
    <col min="8455" max="8456" width="27.42578125" style="229" customWidth="1"/>
    <col min="8457" max="8457" width="25.42578125" style="229" customWidth="1"/>
    <col min="8458" max="8458" width="27.7109375" style="229" customWidth="1"/>
    <col min="8459" max="8459" width="25.42578125" style="229" bestFit="1" customWidth="1"/>
    <col min="8460" max="8704" width="9.140625" style="229"/>
    <col min="8705" max="8705" width="6" style="229" customWidth="1"/>
    <col min="8706" max="8706" width="25.42578125" style="229" customWidth="1"/>
    <col min="8707" max="8707" width="26.140625" style="229" customWidth="1"/>
    <col min="8708" max="8708" width="14.85546875" style="229" customWidth="1"/>
    <col min="8709" max="8709" width="14.5703125" style="229" customWidth="1"/>
    <col min="8710" max="8710" width="15.28515625" style="229" customWidth="1"/>
    <col min="8711" max="8712" width="27.42578125" style="229" customWidth="1"/>
    <col min="8713" max="8713" width="25.42578125" style="229" customWidth="1"/>
    <col min="8714" max="8714" width="27.7109375" style="229" customWidth="1"/>
    <col min="8715" max="8715" width="25.42578125" style="229" bestFit="1" customWidth="1"/>
    <col min="8716" max="8960" width="9.140625" style="229"/>
    <col min="8961" max="8961" width="6" style="229" customWidth="1"/>
    <col min="8962" max="8962" width="25.42578125" style="229" customWidth="1"/>
    <col min="8963" max="8963" width="26.140625" style="229" customWidth="1"/>
    <col min="8964" max="8964" width="14.85546875" style="229" customWidth="1"/>
    <col min="8965" max="8965" width="14.5703125" style="229" customWidth="1"/>
    <col min="8966" max="8966" width="15.28515625" style="229" customWidth="1"/>
    <col min="8967" max="8968" width="27.42578125" style="229" customWidth="1"/>
    <col min="8969" max="8969" width="25.42578125" style="229" customWidth="1"/>
    <col min="8970" max="8970" width="27.7109375" style="229" customWidth="1"/>
    <col min="8971" max="8971" width="25.42578125" style="229" bestFit="1" customWidth="1"/>
    <col min="8972" max="9216" width="9.140625" style="229"/>
    <col min="9217" max="9217" width="6" style="229" customWidth="1"/>
    <col min="9218" max="9218" width="25.42578125" style="229" customWidth="1"/>
    <col min="9219" max="9219" width="26.140625" style="229" customWidth="1"/>
    <col min="9220" max="9220" width="14.85546875" style="229" customWidth="1"/>
    <col min="9221" max="9221" width="14.5703125" style="229" customWidth="1"/>
    <col min="9222" max="9222" width="15.28515625" style="229" customWidth="1"/>
    <col min="9223" max="9224" width="27.42578125" style="229" customWidth="1"/>
    <col min="9225" max="9225" width="25.42578125" style="229" customWidth="1"/>
    <col min="9226" max="9226" width="27.7109375" style="229" customWidth="1"/>
    <col min="9227" max="9227" width="25.42578125" style="229" bestFit="1" customWidth="1"/>
    <col min="9228" max="9472" width="9.140625" style="229"/>
    <col min="9473" max="9473" width="6" style="229" customWidth="1"/>
    <col min="9474" max="9474" width="25.42578125" style="229" customWidth="1"/>
    <col min="9475" max="9475" width="26.140625" style="229" customWidth="1"/>
    <col min="9476" max="9476" width="14.85546875" style="229" customWidth="1"/>
    <col min="9477" max="9477" width="14.5703125" style="229" customWidth="1"/>
    <col min="9478" max="9478" width="15.28515625" style="229" customWidth="1"/>
    <col min="9479" max="9480" width="27.42578125" style="229" customWidth="1"/>
    <col min="9481" max="9481" width="25.42578125" style="229" customWidth="1"/>
    <col min="9482" max="9482" width="27.7109375" style="229" customWidth="1"/>
    <col min="9483" max="9483" width="25.42578125" style="229" bestFit="1" customWidth="1"/>
    <col min="9484" max="9728" width="9.140625" style="229"/>
    <col min="9729" max="9729" width="6" style="229" customWidth="1"/>
    <col min="9730" max="9730" width="25.42578125" style="229" customWidth="1"/>
    <col min="9731" max="9731" width="26.140625" style="229" customWidth="1"/>
    <col min="9732" max="9732" width="14.85546875" style="229" customWidth="1"/>
    <col min="9733" max="9733" width="14.5703125" style="229" customWidth="1"/>
    <col min="9734" max="9734" width="15.28515625" style="229" customWidth="1"/>
    <col min="9735" max="9736" width="27.42578125" style="229" customWidth="1"/>
    <col min="9737" max="9737" width="25.42578125" style="229" customWidth="1"/>
    <col min="9738" max="9738" width="27.7109375" style="229" customWidth="1"/>
    <col min="9739" max="9739" width="25.42578125" style="229" bestFit="1" customWidth="1"/>
    <col min="9740" max="9984" width="9.140625" style="229"/>
    <col min="9985" max="9985" width="6" style="229" customWidth="1"/>
    <col min="9986" max="9986" width="25.42578125" style="229" customWidth="1"/>
    <col min="9987" max="9987" width="26.140625" style="229" customWidth="1"/>
    <col min="9988" max="9988" width="14.85546875" style="229" customWidth="1"/>
    <col min="9989" max="9989" width="14.5703125" style="229" customWidth="1"/>
    <col min="9990" max="9990" width="15.28515625" style="229" customWidth="1"/>
    <col min="9991" max="9992" width="27.42578125" style="229" customWidth="1"/>
    <col min="9993" max="9993" width="25.42578125" style="229" customWidth="1"/>
    <col min="9994" max="9994" width="27.7109375" style="229" customWidth="1"/>
    <col min="9995" max="9995" width="25.42578125" style="229" bestFit="1" customWidth="1"/>
    <col min="9996" max="10240" width="9.140625" style="229"/>
    <col min="10241" max="10241" width="6" style="229" customWidth="1"/>
    <col min="10242" max="10242" width="25.42578125" style="229" customWidth="1"/>
    <col min="10243" max="10243" width="26.140625" style="229" customWidth="1"/>
    <col min="10244" max="10244" width="14.85546875" style="229" customWidth="1"/>
    <col min="10245" max="10245" width="14.5703125" style="229" customWidth="1"/>
    <col min="10246" max="10246" width="15.28515625" style="229" customWidth="1"/>
    <col min="10247" max="10248" width="27.42578125" style="229" customWidth="1"/>
    <col min="10249" max="10249" width="25.42578125" style="229" customWidth="1"/>
    <col min="10250" max="10250" width="27.7109375" style="229" customWidth="1"/>
    <col min="10251" max="10251" width="25.42578125" style="229" bestFit="1" customWidth="1"/>
    <col min="10252" max="10496" width="9.140625" style="229"/>
    <col min="10497" max="10497" width="6" style="229" customWidth="1"/>
    <col min="10498" max="10498" width="25.42578125" style="229" customWidth="1"/>
    <col min="10499" max="10499" width="26.140625" style="229" customWidth="1"/>
    <col min="10500" max="10500" width="14.85546875" style="229" customWidth="1"/>
    <col min="10501" max="10501" width="14.5703125" style="229" customWidth="1"/>
    <col min="10502" max="10502" width="15.28515625" style="229" customWidth="1"/>
    <col min="10503" max="10504" width="27.42578125" style="229" customWidth="1"/>
    <col min="10505" max="10505" width="25.42578125" style="229" customWidth="1"/>
    <col min="10506" max="10506" width="27.7109375" style="229" customWidth="1"/>
    <col min="10507" max="10507" width="25.42578125" style="229" bestFit="1" customWidth="1"/>
    <col min="10508" max="10752" width="9.140625" style="229"/>
    <col min="10753" max="10753" width="6" style="229" customWidth="1"/>
    <col min="10754" max="10754" width="25.42578125" style="229" customWidth="1"/>
    <col min="10755" max="10755" width="26.140625" style="229" customWidth="1"/>
    <col min="10756" max="10756" width="14.85546875" style="229" customWidth="1"/>
    <col min="10757" max="10757" width="14.5703125" style="229" customWidth="1"/>
    <col min="10758" max="10758" width="15.28515625" style="229" customWidth="1"/>
    <col min="10759" max="10760" width="27.42578125" style="229" customWidth="1"/>
    <col min="10761" max="10761" width="25.42578125" style="229" customWidth="1"/>
    <col min="10762" max="10762" width="27.7109375" style="229" customWidth="1"/>
    <col min="10763" max="10763" width="25.42578125" style="229" bestFit="1" customWidth="1"/>
    <col min="10764" max="11008" width="9.140625" style="229"/>
    <col min="11009" max="11009" width="6" style="229" customWidth="1"/>
    <col min="11010" max="11010" width="25.42578125" style="229" customWidth="1"/>
    <col min="11011" max="11011" width="26.140625" style="229" customWidth="1"/>
    <col min="11012" max="11012" width="14.85546875" style="229" customWidth="1"/>
    <col min="11013" max="11013" width="14.5703125" style="229" customWidth="1"/>
    <col min="11014" max="11014" width="15.28515625" style="229" customWidth="1"/>
    <col min="11015" max="11016" width="27.42578125" style="229" customWidth="1"/>
    <col min="11017" max="11017" width="25.42578125" style="229" customWidth="1"/>
    <col min="11018" max="11018" width="27.7109375" style="229" customWidth="1"/>
    <col min="11019" max="11019" width="25.42578125" style="229" bestFit="1" customWidth="1"/>
    <col min="11020" max="11264" width="9.140625" style="229"/>
    <col min="11265" max="11265" width="6" style="229" customWidth="1"/>
    <col min="11266" max="11266" width="25.42578125" style="229" customWidth="1"/>
    <col min="11267" max="11267" width="26.140625" style="229" customWidth="1"/>
    <col min="11268" max="11268" width="14.85546875" style="229" customWidth="1"/>
    <col min="11269" max="11269" width="14.5703125" style="229" customWidth="1"/>
    <col min="11270" max="11270" width="15.28515625" style="229" customWidth="1"/>
    <col min="11271" max="11272" width="27.42578125" style="229" customWidth="1"/>
    <col min="11273" max="11273" width="25.42578125" style="229" customWidth="1"/>
    <col min="11274" max="11274" width="27.7109375" style="229" customWidth="1"/>
    <col min="11275" max="11275" width="25.42578125" style="229" bestFit="1" customWidth="1"/>
    <col min="11276" max="11520" width="9.140625" style="229"/>
    <col min="11521" max="11521" width="6" style="229" customWidth="1"/>
    <col min="11522" max="11522" width="25.42578125" style="229" customWidth="1"/>
    <col min="11523" max="11523" width="26.140625" style="229" customWidth="1"/>
    <col min="11524" max="11524" width="14.85546875" style="229" customWidth="1"/>
    <col min="11525" max="11525" width="14.5703125" style="229" customWidth="1"/>
    <col min="11526" max="11526" width="15.28515625" style="229" customWidth="1"/>
    <col min="11527" max="11528" width="27.42578125" style="229" customWidth="1"/>
    <col min="11529" max="11529" width="25.42578125" style="229" customWidth="1"/>
    <col min="11530" max="11530" width="27.7109375" style="229" customWidth="1"/>
    <col min="11531" max="11531" width="25.42578125" style="229" bestFit="1" customWidth="1"/>
    <col min="11532" max="11776" width="9.140625" style="229"/>
    <col min="11777" max="11777" width="6" style="229" customWidth="1"/>
    <col min="11778" max="11778" width="25.42578125" style="229" customWidth="1"/>
    <col min="11779" max="11779" width="26.140625" style="229" customWidth="1"/>
    <col min="11780" max="11780" width="14.85546875" style="229" customWidth="1"/>
    <col min="11781" max="11781" width="14.5703125" style="229" customWidth="1"/>
    <col min="11782" max="11782" width="15.28515625" style="229" customWidth="1"/>
    <col min="11783" max="11784" width="27.42578125" style="229" customWidth="1"/>
    <col min="11785" max="11785" width="25.42578125" style="229" customWidth="1"/>
    <col min="11786" max="11786" width="27.7109375" style="229" customWidth="1"/>
    <col min="11787" max="11787" width="25.42578125" style="229" bestFit="1" customWidth="1"/>
    <col min="11788" max="12032" width="9.140625" style="229"/>
    <col min="12033" max="12033" width="6" style="229" customWidth="1"/>
    <col min="12034" max="12034" width="25.42578125" style="229" customWidth="1"/>
    <col min="12035" max="12035" width="26.140625" style="229" customWidth="1"/>
    <col min="12036" max="12036" width="14.85546875" style="229" customWidth="1"/>
    <col min="12037" max="12037" width="14.5703125" style="229" customWidth="1"/>
    <col min="12038" max="12038" width="15.28515625" style="229" customWidth="1"/>
    <col min="12039" max="12040" width="27.42578125" style="229" customWidth="1"/>
    <col min="12041" max="12041" width="25.42578125" style="229" customWidth="1"/>
    <col min="12042" max="12042" width="27.7109375" style="229" customWidth="1"/>
    <col min="12043" max="12043" width="25.42578125" style="229" bestFit="1" customWidth="1"/>
    <col min="12044" max="12288" width="9.140625" style="229"/>
    <col min="12289" max="12289" width="6" style="229" customWidth="1"/>
    <col min="12290" max="12290" width="25.42578125" style="229" customWidth="1"/>
    <col min="12291" max="12291" width="26.140625" style="229" customWidth="1"/>
    <col min="12292" max="12292" width="14.85546875" style="229" customWidth="1"/>
    <col min="12293" max="12293" width="14.5703125" style="229" customWidth="1"/>
    <col min="12294" max="12294" width="15.28515625" style="229" customWidth="1"/>
    <col min="12295" max="12296" width="27.42578125" style="229" customWidth="1"/>
    <col min="12297" max="12297" width="25.42578125" style="229" customWidth="1"/>
    <col min="12298" max="12298" width="27.7109375" style="229" customWidth="1"/>
    <col min="12299" max="12299" width="25.42578125" style="229" bestFit="1" customWidth="1"/>
    <col min="12300" max="12544" width="9.140625" style="229"/>
    <col min="12545" max="12545" width="6" style="229" customWidth="1"/>
    <col min="12546" max="12546" width="25.42578125" style="229" customWidth="1"/>
    <col min="12547" max="12547" width="26.140625" style="229" customWidth="1"/>
    <col min="12548" max="12548" width="14.85546875" style="229" customWidth="1"/>
    <col min="12549" max="12549" width="14.5703125" style="229" customWidth="1"/>
    <col min="12550" max="12550" width="15.28515625" style="229" customWidth="1"/>
    <col min="12551" max="12552" width="27.42578125" style="229" customWidth="1"/>
    <col min="12553" max="12553" width="25.42578125" style="229" customWidth="1"/>
    <col min="12554" max="12554" width="27.7109375" style="229" customWidth="1"/>
    <col min="12555" max="12555" width="25.42578125" style="229" bestFit="1" customWidth="1"/>
    <col min="12556" max="12800" width="9.140625" style="229"/>
    <col min="12801" max="12801" width="6" style="229" customWidth="1"/>
    <col min="12802" max="12802" width="25.42578125" style="229" customWidth="1"/>
    <col min="12803" max="12803" width="26.140625" style="229" customWidth="1"/>
    <col min="12804" max="12804" width="14.85546875" style="229" customWidth="1"/>
    <col min="12805" max="12805" width="14.5703125" style="229" customWidth="1"/>
    <col min="12806" max="12806" width="15.28515625" style="229" customWidth="1"/>
    <col min="12807" max="12808" width="27.42578125" style="229" customWidth="1"/>
    <col min="12809" max="12809" width="25.42578125" style="229" customWidth="1"/>
    <col min="12810" max="12810" width="27.7109375" style="229" customWidth="1"/>
    <col min="12811" max="12811" width="25.42578125" style="229" bestFit="1" customWidth="1"/>
    <col min="12812" max="13056" width="9.140625" style="229"/>
    <col min="13057" max="13057" width="6" style="229" customWidth="1"/>
    <col min="13058" max="13058" width="25.42578125" style="229" customWidth="1"/>
    <col min="13059" max="13059" width="26.140625" style="229" customWidth="1"/>
    <col min="13060" max="13060" width="14.85546875" style="229" customWidth="1"/>
    <col min="13061" max="13061" width="14.5703125" style="229" customWidth="1"/>
    <col min="13062" max="13062" width="15.28515625" style="229" customWidth="1"/>
    <col min="13063" max="13064" width="27.42578125" style="229" customWidth="1"/>
    <col min="13065" max="13065" width="25.42578125" style="229" customWidth="1"/>
    <col min="13066" max="13066" width="27.7109375" style="229" customWidth="1"/>
    <col min="13067" max="13067" width="25.42578125" style="229" bestFit="1" customWidth="1"/>
    <col min="13068" max="13312" width="9.140625" style="229"/>
    <col min="13313" max="13313" width="6" style="229" customWidth="1"/>
    <col min="13314" max="13314" width="25.42578125" style="229" customWidth="1"/>
    <col min="13315" max="13315" width="26.140625" style="229" customWidth="1"/>
    <col min="13316" max="13316" width="14.85546875" style="229" customWidth="1"/>
    <col min="13317" max="13317" width="14.5703125" style="229" customWidth="1"/>
    <col min="13318" max="13318" width="15.28515625" style="229" customWidth="1"/>
    <col min="13319" max="13320" width="27.42578125" style="229" customWidth="1"/>
    <col min="13321" max="13321" width="25.42578125" style="229" customWidth="1"/>
    <col min="13322" max="13322" width="27.7109375" style="229" customWidth="1"/>
    <col min="13323" max="13323" width="25.42578125" style="229" bestFit="1" customWidth="1"/>
    <col min="13324" max="13568" width="9.140625" style="229"/>
    <col min="13569" max="13569" width="6" style="229" customWidth="1"/>
    <col min="13570" max="13570" width="25.42578125" style="229" customWidth="1"/>
    <col min="13571" max="13571" width="26.140625" style="229" customWidth="1"/>
    <col min="13572" max="13572" width="14.85546875" style="229" customWidth="1"/>
    <col min="13573" max="13573" width="14.5703125" style="229" customWidth="1"/>
    <col min="13574" max="13574" width="15.28515625" style="229" customWidth="1"/>
    <col min="13575" max="13576" width="27.42578125" style="229" customWidth="1"/>
    <col min="13577" max="13577" width="25.42578125" style="229" customWidth="1"/>
    <col min="13578" max="13578" width="27.7109375" style="229" customWidth="1"/>
    <col min="13579" max="13579" width="25.42578125" style="229" bestFit="1" customWidth="1"/>
    <col min="13580" max="13824" width="9.140625" style="229"/>
    <col min="13825" max="13825" width="6" style="229" customWidth="1"/>
    <col min="13826" max="13826" width="25.42578125" style="229" customWidth="1"/>
    <col min="13827" max="13827" width="26.140625" style="229" customWidth="1"/>
    <col min="13828" max="13828" width="14.85546875" style="229" customWidth="1"/>
    <col min="13829" max="13829" width="14.5703125" style="229" customWidth="1"/>
    <col min="13830" max="13830" width="15.28515625" style="229" customWidth="1"/>
    <col min="13831" max="13832" width="27.42578125" style="229" customWidth="1"/>
    <col min="13833" max="13833" width="25.42578125" style="229" customWidth="1"/>
    <col min="13834" max="13834" width="27.7109375" style="229" customWidth="1"/>
    <col min="13835" max="13835" width="25.42578125" style="229" bestFit="1" customWidth="1"/>
    <col min="13836" max="14080" width="9.140625" style="229"/>
    <col min="14081" max="14081" width="6" style="229" customWidth="1"/>
    <col min="14082" max="14082" width="25.42578125" style="229" customWidth="1"/>
    <col min="14083" max="14083" width="26.140625" style="229" customWidth="1"/>
    <col min="14084" max="14084" width="14.85546875" style="229" customWidth="1"/>
    <col min="14085" max="14085" width="14.5703125" style="229" customWidth="1"/>
    <col min="14086" max="14086" width="15.28515625" style="229" customWidth="1"/>
    <col min="14087" max="14088" width="27.42578125" style="229" customWidth="1"/>
    <col min="14089" max="14089" width="25.42578125" style="229" customWidth="1"/>
    <col min="14090" max="14090" width="27.7109375" style="229" customWidth="1"/>
    <col min="14091" max="14091" width="25.42578125" style="229" bestFit="1" customWidth="1"/>
    <col min="14092" max="14336" width="9.140625" style="229"/>
    <col min="14337" max="14337" width="6" style="229" customWidth="1"/>
    <col min="14338" max="14338" width="25.42578125" style="229" customWidth="1"/>
    <col min="14339" max="14339" width="26.140625" style="229" customWidth="1"/>
    <col min="14340" max="14340" width="14.85546875" style="229" customWidth="1"/>
    <col min="14341" max="14341" width="14.5703125" style="229" customWidth="1"/>
    <col min="14342" max="14342" width="15.28515625" style="229" customWidth="1"/>
    <col min="14343" max="14344" width="27.42578125" style="229" customWidth="1"/>
    <col min="14345" max="14345" width="25.42578125" style="229" customWidth="1"/>
    <col min="14346" max="14346" width="27.7109375" style="229" customWidth="1"/>
    <col min="14347" max="14347" width="25.42578125" style="229" bestFit="1" customWidth="1"/>
    <col min="14348" max="14592" width="9.140625" style="229"/>
    <col min="14593" max="14593" width="6" style="229" customWidth="1"/>
    <col min="14594" max="14594" width="25.42578125" style="229" customWidth="1"/>
    <col min="14595" max="14595" width="26.140625" style="229" customWidth="1"/>
    <col min="14596" max="14596" width="14.85546875" style="229" customWidth="1"/>
    <col min="14597" max="14597" width="14.5703125" style="229" customWidth="1"/>
    <col min="14598" max="14598" width="15.28515625" style="229" customWidth="1"/>
    <col min="14599" max="14600" width="27.42578125" style="229" customWidth="1"/>
    <col min="14601" max="14601" width="25.42578125" style="229" customWidth="1"/>
    <col min="14602" max="14602" width="27.7109375" style="229" customWidth="1"/>
    <col min="14603" max="14603" width="25.42578125" style="229" bestFit="1" customWidth="1"/>
    <col min="14604" max="14848" width="9.140625" style="229"/>
    <col min="14849" max="14849" width="6" style="229" customWidth="1"/>
    <col min="14850" max="14850" width="25.42578125" style="229" customWidth="1"/>
    <col min="14851" max="14851" width="26.140625" style="229" customWidth="1"/>
    <col min="14852" max="14852" width="14.85546875" style="229" customWidth="1"/>
    <col min="14853" max="14853" width="14.5703125" style="229" customWidth="1"/>
    <col min="14854" max="14854" width="15.28515625" style="229" customWidth="1"/>
    <col min="14855" max="14856" width="27.42578125" style="229" customWidth="1"/>
    <col min="14857" max="14857" width="25.42578125" style="229" customWidth="1"/>
    <col min="14858" max="14858" width="27.7109375" style="229" customWidth="1"/>
    <col min="14859" max="14859" width="25.42578125" style="229" bestFit="1" customWidth="1"/>
    <col min="14860" max="15104" width="9.140625" style="229"/>
    <col min="15105" max="15105" width="6" style="229" customWidth="1"/>
    <col min="15106" max="15106" width="25.42578125" style="229" customWidth="1"/>
    <col min="15107" max="15107" width="26.140625" style="229" customWidth="1"/>
    <col min="15108" max="15108" width="14.85546875" style="229" customWidth="1"/>
    <col min="15109" max="15109" width="14.5703125" style="229" customWidth="1"/>
    <col min="15110" max="15110" width="15.28515625" style="229" customWidth="1"/>
    <col min="15111" max="15112" width="27.42578125" style="229" customWidth="1"/>
    <col min="15113" max="15113" width="25.42578125" style="229" customWidth="1"/>
    <col min="15114" max="15114" width="27.7109375" style="229" customWidth="1"/>
    <col min="15115" max="15115" width="25.42578125" style="229" bestFit="1" customWidth="1"/>
    <col min="15116" max="15360" width="9.140625" style="229"/>
    <col min="15361" max="15361" width="6" style="229" customWidth="1"/>
    <col min="15362" max="15362" width="25.42578125" style="229" customWidth="1"/>
    <col min="15363" max="15363" width="26.140625" style="229" customWidth="1"/>
    <col min="15364" max="15364" width="14.85546875" style="229" customWidth="1"/>
    <col min="15365" max="15365" width="14.5703125" style="229" customWidth="1"/>
    <col min="15366" max="15366" width="15.28515625" style="229" customWidth="1"/>
    <col min="15367" max="15368" width="27.42578125" style="229" customWidth="1"/>
    <col min="15369" max="15369" width="25.42578125" style="229" customWidth="1"/>
    <col min="15370" max="15370" width="27.7109375" style="229" customWidth="1"/>
    <col min="15371" max="15371" width="25.42578125" style="229" bestFit="1" customWidth="1"/>
    <col min="15372" max="15616" width="9.140625" style="229"/>
    <col min="15617" max="15617" width="6" style="229" customWidth="1"/>
    <col min="15618" max="15618" width="25.42578125" style="229" customWidth="1"/>
    <col min="15619" max="15619" width="26.140625" style="229" customWidth="1"/>
    <col min="15620" max="15620" width="14.85546875" style="229" customWidth="1"/>
    <col min="15621" max="15621" width="14.5703125" style="229" customWidth="1"/>
    <col min="15622" max="15622" width="15.28515625" style="229" customWidth="1"/>
    <col min="15623" max="15624" width="27.42578125" style="229" customWidth="1"/>
    <col min="15625" max="15625" width="25.42578125" style="229" customWidth="1"/>
    <col min="15626" max="15626" width="27.7109375" style="229" customWidth="1"/>
    <col min="15627" max="15627" width="25.42578125" style="229" bestFit="1" customWidth="1"/>
    <col min="15628" max="15872" width="9.140625" style="229"/>
    <col min="15873" max="15873" width="6" style="229" customWidth="1"/>
    <col min="15874" max="15874" width="25.42578125" style="229" customWidth="1"/>
    <col min="15875" max="15875" width="26.140625" style="229" customWidth="1"/>
    <col min="15876" max="15876" width="14.85546875" style="229" customWidth="1"/>
    <col min="15877" max="15877" width="14.5703125" style="229" customWidth="1"/>
    <col min="15878" max="15878" width="15.28515625" style="229" customWidth="1"/>
    <col min="15879" max="15880" width="27.42578125" style="229" customWidth="1"/>
    <col min="15881" max="15881" width="25.42578125" style="229" customWidth="1"/>
    <col min="15882" max="15882" width="27.7109375" style="229" customWidth="1"/>
    <col min="15883" max="15883" width="25.42578125" style="229" bestFit="1" customWidth="1"/>
    <col min="15884" max="16128" width="9.140625" style="229"/>
    <col min="16129" max="16129" width="6" style="229" customWidth="1"/>
    <col min="16130" max="16130" width="25.42578125" style="229" customWidth="1"/>
    <col min="16131" max="16131" width="26.140625" style="229" customWidth="1"/>
    <col min="16132" max="16132" width="14.85546875" style="229" customWidth="1"/>
    <col min="16133" max="16133" width="14.5703125" style="229" customWidth="1"/>
    <col min="16134" max="16134" width="15.28515625" style="229" customWidth="1"/>
    <col min="16135" max="16136" width="27.42578125" style="229" customWidth="1"/>
    <col min="16137" max="16137" width="25.42578125" style="229" customWidth="1"/>
    <col min="16138" max="16138" width="27.7109375" style="229" customWidth="1"/>
    <col min="16139" max="16139" width="25.42578125" style="229" bestFit="1" customWidth="1"/>
    <col min="16140" max="16384" width="9.140625" style="229"/>
  </cols>
  <sheetData>
    <row r="1" spans="1:13" ht="40.5" customHeight="1" x14ac:dyDescent="0.45">
      <c r="A1" s="1373" t="s">
        <v>124</v>
      </c>
      <c r="B1" s="1373"/>
      <c r="C1" s="1373"/>
      <c r="D1" s="1373"/>
      <c r="E1" s="1373"/>
      <c r="F1" s="1373"/>
      <c r="G1" s="1373"/>
      <c r="H1" s="1373"/>
      <c r="I1" s="1373"/>
      <c r="J1" s="1373"/>
      <c r="K1" s="386"/>
      <c r="L1" s="228"/>
      <c r="M1" s="228"/>
    </row>
    <row r="2" spans="1:13" ht="40.5" customHeight="1" x14ac:dyDescent="0.45">
      <c r="A2" s="1373" t="s">
        <v>189</v>
      </c>
      <c r="B2" s="1373"/>
      <c r="C2" s="1373"/>
      <c r="D2" s="1373"/>
      <c r="E2" s="1373"/>
      <c r="F2" s="1373"/>
      <c r="G2" s="1373"/>
      <c r="H2" s="1373"/>
      <c r="I2" s="1373"/>
      <c r="J2" s="1373"/>
      <c r="K2" s="386"/>
      <c r="L2" s="228"/>
      <c r="M2" s="228"/>
    </row>
    <row r="3" spans="1:13" ht="40.5" customHeight="1" thickBot="1" x14ac:dyDescent="0.45">
      <c r="A3" s="230"/>
      <c r="B3" s="230"/>
      <c r="C3" s="230"/>
      <c r="D3" s="230"/>
      <c r="E3" s="230"/>
      <c r="F3" s="230" t="s">
        <v>94</v>
      </c>
      <c r="G3" s="230"/>
      <c r="H3" s="230"/>
      <c r="I3" s="230"/>
      <c r="J3" s="230" t="s">
        <v>49</v>
      </c>
      <c r="K3" s="386"/>
      <c r="L3" s="228"/>
      <c r="M3" s="228"/>
    </row>
    <row r="4" spans="1:13" s="232" customFormat="1" ht="40.5" customHeight="1" thickBot="1" x14ac:dyDescent="0.45">
      <c r="A4" s="1374" t="s">
        <v>28</v>
      </c>
      <c r="B4" s="1376" t="s">
        <v>125</v>
      </c>
      <c r="C4" s="1376" t="s">
        <v>126</v>
      </c>
      <c r="D4" s="1378" t="s">
        <v>178</v>
      </c>
      <c r="E4" s="1379"/>
      <c r="F4" s="1374" t="s">
        <v>127</v>
      </c>
      <c r="G4" s="1382" t="s">
        <v>89</v>
      </c>
      <c r="H4" s="1384" t="s">
        <v>128</v>
      </c>
      <c r="I4" s="1385"/>
      <c r="J4" s="1382" t="s">
        <v>129</v>
      </c>
      <c r="K4" s="386"/>
      <c r="L4" s="231"/>
      <c r="M4" s="231"/>
    </row>
    <row r="5" spans="1:13" s="232" customFormat="1" ht="39" customHeight="1" thickBot="1" x14ac:dyDescent="0.45">
      <c r="A5" s="1375"/>
      <c r="B5" s="1377"/>
      <c r="C5" s="1377"/>
      <c r="D5" s="1380"/>
      <c r="E5" s="1381"/>
      <c r="F5" s="1375"/>
      <c r="G5" s="1383"/>
      <c r="H5" s="442" t="s">
        <v>130</v>
      </c>
      <c r="I5" s="233" t="s">
        <v>131</v>
      </c>
      <c r="J5" s="1383"/>
      <c r="K5" s="386"/>
      <c r="L5" s="231"/>
      <c r="M5" s="231"/>
    </row>
    <row r="6" spans="1:13" ht="40.5" hidden="1" customHeight="1" thickBot="1" x14ac:dyDescent="0.45">
      <c r="A6" s="234">
        <v>1</v>
      </c>
      <c r="B6" s="235">
        <v>500000000</v>
      </c>
      <c r="C6" s="236">
        <v>0.08</v>
      </c>
      <c r="D6" s="237">
        <v>41029</v>
      </c>
      <c r="E6" s="238">
        <v>41095</v>
      </c>
      <c r="F6" s="234">
        <f>E6-D6+1</f>
        <v>67</v>
      </c>
      <c r="G6" s="239">
        <f>B6*C6*F6/366</f>
        <v>7322404.3715846995</v>
      </c>
      <c r="H6" s="240"/>
      <c r="I6" s="241">
        <v>0</v>
      </c>
      <c r="J6" s="242">
        <f>G6-I6</f>
        <v>7322404.3715846995</v>
      </c>
      <c r="K6" s="386"/>
      <c r="L6" s="228"/>
      <c r="M6" s="228"/>
    </row>
    <row r="7" spans="1:13" ht="40.5" hidden="1" customHeight="1" thickBot="1" x14ac:dyDescent="0.45">
      <c r="A7" s="243">
        <v>2</v>
      </c>
      <c r="B7" s="244">
        <v>500000000</v>
      </c>
      <c r="C7" s="245">
        <v>6.8000000000000005E-2</v>
      </c>
      <c r="D7" s="246">
        <v>41096</v>
      </c>
      <c r="E7" s="247">
        <v>41136</v>
      </c>
      <c r="F7" s="243">
        <f>E7-D7</f>
        <v>40</v>
      </c>
      <c r="G7" s="248">
        <f>B7*C7*F7/366</f>
        <v>3715846.9945355193</v>
      </c>
      <c r="H7" s="249"/>
      <c r="I7" s="250">
        <v>0</v>
      </c>
      <c r="J7" s="251">
        <f>G7-I7</f>
        <v>3715846.9945355193</v>
      </c>
      <c r="K7" s="386"/>
      <c r="L7" s="228"/>
      <c r="M7" s="228"/>
    </row>
    <row r="8" spans="1:13" ht="40.5" hidden="1" customHeight="1" thickBot="1" x14ac:dyDescent="0.45">
      <c r="A8" s="252">
        <v>3</v>
      </c>
      <c r="B8" s="253">
        <v>500000000</v>
      </c>
      <c r="C8" s="254">
        <v>6.5000000000000002E-2</v>
      </c>
      <c r="D8" s="255">
        <f>E7</f>
        <v>41136</v>
      </c>
      <c r="E8" s="256">
        <v>41275</v>
      </c>
      <c r="F8" s="257">
        <f>E8-D8</f>
        <v>139</v>
      </c>
      <c r="G8" s="258">
        <f>B8*C8*F8/366</f>
        <v>12342896.174863389</v>
      </c>
      <c r="H8" s="259"/>
      <c r="I8" s="260">
        <v>0</v>
      </c>
      <c r="J8" s="261">
        <f>G8-I8</f>
        <v>12342896.174863389</v>
      </c>
      <c r="K8" s="386"/>
      <c r="L8" s="228"/>
      <c r="M8" s="228"/>
    </row>
    <row r="9" spans="1:13" s="265" customFormat="1" ht="39.75" customHeight="1" thickBot="1" x14ac:dyDescent="0.45">
      <c r="A9" s="1386" t="s">
        <v>190</v>
      </c>
      <c r="B9" s="1387"/>
      <c r="C9" s="1387"/>
      <c r="D9" s="1387"/>
      <c r="E9" s="1388"/>
      <c r="F9" s="262">
        <f>SUM(F6:F8)</f>
        <v>246</v>
      </c>
      <c r="G9" s="387">
        <f>SUM(G6:G8)</f>
        <v>23381147.54098361</v>
      </c>
      <c r="H9" s="388"/>
      <c r="I9" s="263">
        <f>SUM(I6:I8)</f>
        <v>0</v>
      </c>
      <c r="J9" s="389">
        <f>SUM(J6:J8)</f>
        <v>23381147.54098361</v>
      </c>
      <c r="K9" s="390"/>
      <c r="L9" s="264"/>
      <c r="M9" s="264"/>
    </row>
    <row r="10" spans="1:13" ht="40.5" hidden="1" customHeight="1" thickBot="1" x14ac:dyDescent="0.45">
      <c r="A10" s="266">
        <v>1</v>
      </c>
      <c r="B10" s="235">
        <v>500000000</v>
      </c>
      <c r="C10" s="267">
        <v>6.5000000000000002E-2</v>
      </c>
      <c r="D10" s="237">
        <f>E8</f>
        <v>41275</v>
      </c>
      <c r="E10" s="268">
        <v>41462</v>
      </c>
      <c r="F10" s="269">
        <v>188</v>
      </c>
      <c r="G10" s="239">
        <f>B10*C10*F10/365</f>
        <v>16739726.02739726</v>
      </c>
      <c r="H10" s="240"/>
      <c r="I10" s="241">
        <v>0</v>
      </c>
      <c r="J10" s="242">
        <f>G10-I10</f>
        <v>16739726.02739726</v>
      </c>
      <c r="K10" s="386"/>
      <c r="L10" s="228"/>
      <c r="M10" s="228"/>
    </row>
    <row r="11" spans="1:13" ht="40.5" hidden="1" customHeight="1" thickBot="1" x14ac:dyDescent="0.45">
      <c r="A11" s="243">
        <v>2</v>
      </c>
      <c r="B11" s="244">
        <v>500000000</v>
      </c>
      <c r="C11" s="245">
        <v>6.0999999999999999E-2</v>
      </c>
      <c r="D11" s="247">
        <v>41463</v>
      </c>
      <c r="E11" s="247">
        <v>41554</v>
      </c>
      <c r="F11" s="270">
        <f>E11-D11</f>
        <v>91</v>
      </c>
      <c r="G11" s="248">
        <f>B11*C11*F11/365</f>
        <v>7604109.5890410962</v>
      </c>
      <c r="H11" s="249"/>
      <c r="I11" s="250">
        <v>0</v>
      </c>
      <c r="J11" s="251">
        <f>G11-I11</f>
        <v>7604109.5890410962</v>
      </c>
      <c r="K11" s="386"/>
      <c r="L11" s="228"/>
      <c r="M11" s="228"/>
    </row>
    <row r="12" spans="1:13" ht="40.5" hidden="1" customHeight="1" thickBot="1" x14ac:dyDescent="0.45">
      <c r="A12" s="252">
        <v>3</v>
      </c>
      <c r="B12" s="253">
        <v>500000000</v>
      </c>
      <c r="C12" s="254">
        <v>5.5E-2</v>
      </c>
      <c r="D12" s="255">
        <f>E11</f>
        <v>41554</v>
      </c>
      <c r="E12" s="256">
        <v>41639</v>
      </c>
      <c r="F12" s="271">
        <v>86</v>
      </c>
      <c r="G12" s="258">
        <f>B12*C12*F12/365</f>
        <v>6479452.0547945201</v>
      </c>
      <c r="H12" s="259"/>
      <c r="I12" s="260">
        <v>0</v>
      </c>
      <c r="J12" s="261">
        <f>G12-I12</f>
        <v>6479452.0547945201</v>
      </c>
      <c r="K12" s="386"/>
      <c r="L12" s="228"/>
      <c r="M12" s="228"/>
    </row>
    <row r="13" spans="1:13" s="265" customFormat="1" ht="39" customHeight="1" thickBot="1" x14ac:dyDescent="0.45">
      <c r="A13" s="1386" t="s">
        <v>191</v>
      </c>
      <c r="B13" s="1387"/>
      <c r="C13" s="1387"/>
      <c r="D13" s="1387"/>
      <c r="E13" s="1388"/>
      <c r="F13" s="262">
        <f>SUM(F10:F12)</f>
        <v>365</v>
      </c>
      <c r="G13" s="387">
        <f>SUM(G10:G12)</f>
        <v>30823287.671232875</v>
      </c>
      <c r="H13" s="388"/>
      <c r="I13" s="263">
        <f>SUM(I10:I12)</f>
        <v>0</v>
      </c>
      <c r="J13" s="389">
        <f>SUM(J10:J12)</f>
        <v>30823287.671232875</v>
      </c>
      <c r="K13" s="391"/>
      <c r="L13" s="264"/>
      <c r="M13" s="264"/>
    </row>
    <row r="14" spans="1:13" ht="2.25" hidden="1" customHeight="1" thickBot="1" x14ac:dyDescent="0.45">
      <c r="A14" s="1386">
        <v>1</v>
      </c>
      <c r="B14" s="1387">
        <v>500000000</v>
      </c>
      <c r="C14" s="1387">
        <v>5.5E-2</v>
      </c>
      <c r="D14" s="1387">
        <v>41640</v>
      </c>
      <c r="E14" s="1388">
        <v>41648</v>
      </c>
      <c r="F14" s="269">
        <v>9</v>
      </c>
      <c r="G14" s="239">
        <f>B14*C14*F14/365</f>
        <v>678082.19178082189</v>
      </c>
      <c r="H14" s="240"/>
      <c r="I14" s="241">
        <v>0</v>
      </c>
      <c r="J14" s="242">
        <f>G14-I14</f>
        <v>678082.19178082189</v>
      </c>
      <c r="K14" s="386"/>
      <c r="L14" s="228"/>
      <c r="M14" s="228"/>
    </row>
    <row r="15" spans="1:13" ht="40.5" hidden="1" customHeight="1" thickBot="1" x14ac:dyDescent="0.45">
      <c r="A15" s="1386">
        <v>2</v>
      </c>
      <c r="B15" s="1387">
        <v>500000000</v>
      </c>
      <c r="C15" s="1387">
        <v>4.8000000000000001E-2</v>
      </c>
      <c r="D15" s="1387">
        <v>41649</v>
      </c>
      <c r="E15" s="1388">
        <v>41778</v>
      </c>
      <c r="F15" s="270">
        <f>E15-D15</f>
        <v>129</v>
      </c>
      <c r="G15" s="248">
        <f>B15*C15*F15/365</f>
        <v>8482191.7808219176</v>
      </c>
      <c r="H15" s="249"/>
      <c r="I15" s="250">
        <v>0</v>
      </c>
      <c r="J15" s="251">
        <f>G15-I15</f>
        <v>8482191.7808219176</v>
      </c>
      <c r="K15" s="386"/>
      <c r="L15" s="228"/>
      <c r="M15" s="228"/>
    </row>
    <row r="16" spans="1:13" ht="40.5" hidden="1" customHeight="1" thickBot="1" x14ac:dyDescent="0.45">
      <c r="A16" s="1386">
        <v>3</v>
      </c>
      <c r="B16" s="1387">
        <v>500000000</v>
      </c>
      <c r="C16" s="1387">
        <v>5.8999999999999997E-2</v>
      </c>
      <c r="D16" s="1387">
        <f>E15</f>
        <v>41778</v>
      </c>
      <c r="E16" s="1388">
        <v>41915</v>
      </c>
      <c r="F16" s="270">
        <f>E16-D16</f>
        <v>137</v>
      </c>
      <c r="G16" s="248">
        <f>B16*C16*F16/365</f>
        <v>11072602.739726027</v>
      </c>
      <c r="H16" s="249"/>
      <c r="I16" s="250">
        <v>0</v>
      </c>
      <c r="J16" s="251">
        <f>G16-I16</f>
        <v>11072602.739726027</v>
      </c>
      <c r="K16" s="386"/>
      <c r="L16" s="228"/>
      <c r="M16" s="228"/>
    </row>
    <row r="17" spans="1:256" ht="40.5" hidden="1" customHeight="1" thickBot="1" x14ac:dyDescent="0.45">
      <c r="A17" s="1386">
        <v>4</v>
      </c>
      <c r="B17" s="1387">
        <v>500000000</v>
      </c>
      <c r="C17" s="1387">
        <v>6.9000000000000006E-2</v>
      </c>
      <c r="D17" s="1387">
        <f>E16</f>
        <v>41915</v>
      </c>
      <c r="E17" s="1388">
        <v>41994</v>
      </c>
      <c r="F17" s="270">
        <v>80</v>
      </c>
      <c r="G17" s="248">
        <f>B17*C17*F17/365</f>
        <v>7561643.8356164386</v>
      </c>
      <c r="H17" s="249"/>
      <c r="I17" s="250">
        <v>0</v>
      </c>
      <c r="J17" s="251">
        <f>G17-I17</f>
        <v>7561643.8356164386</v>
      </c>
      <c r="K17" s="386"/>
      <c r="L17" s="228"/>
      <c r="M17" s="228"/>
    </row>
    <row r="18" spans="1:256" ht="40.5" hidden="1" customHeight="1" thickBot="1" x14ac:dyDescent="0.45">
      <c r="A18" s="1386">
        <v>5</v>
      </c>
      <c r="B18" s="1387">
        <v>500000000</v>
      </c>
      <c r="C18" s="1387">
        <v>0.08</v>
      </c>
      <c r="D18" s="1387">
        <v>41995</v>
      </c>
      <c r="E18" s="1388">
        <v>42004</v>
      </c>
      <c r="F18" s="271">
        <v>10</v>
      </c>
      <c r="G18" s="258">
        <f>B18*C18*F18/365</f>
        <v>1095890.4109589041</v>
      </c>
      <c r="H18" s="259"/>
      <c r="I18" s="260">
        <v>0</v>
      </c>
      <c r="J18" s="261">
        <f>G18-I18</f>
        <v>1095890.4109589041</v>
      </c>
      <c r="K18" s="386"/>
      <c r="L18" s="228"/>
      <c r="M18" s="228"/>
    </row>
    <row r="19" spans="1:256" s="265" customFormat="1" ht="40.5" customHeight="1" thickBot="1" x14ac:dyDescent="0.45">
      <c r="A19" s="1386" t="s">
        <v>192</v>
      </c>
      <c r="B19" s="1387"/>
      <c r="C19" s="1387"/>
      <c r="D19" s="1387"/>
      <c r="E19" s="1388"/>
      <c r="F19" s="262">
        <v>365</v>
      </c>
      <c r="G19" s="392">
        <f>SUM(G14:G18)</f>
        <v>28890410.958904114</v>
      </c>
      <c r="H19" s="272"/>
      <c r="I19" s="263">
        <f>SUM(I14:I18)</f>
        <v>0</v>
      </c>
      <c r="J19" s="389">
        <f>SUM(J14:J18)</f>
        <v>28890410.958904114</v>
      </c>
      <c r="K19" s="391"/>
      <c r="L19" s="264"/>
      <c r="M19" s="264"/>
    </row>
    <row r="20" spans="1:256" ht="40.5" hidden="1" customHeight="1" thickBot="1" x14ac:dyDescent="0.45">
      <c r="A20" s="1386">
        <v>1</v>
      </c>
      <c r="B20" s="1387">
        <v>500000000</v>
      </c>
      <c r="C20" s="1387">
        <v>0.08</v>
      </c>
      <c r="D20" s="1387">
        <v>42005</v>
      </c>
      <c r="E20" s="1388">
        <v>42369</v>
      </c>
      <c r="F20" s="276">
        <f>365</f>
        <v>365</v>
      </c>
      <c r="G20" s="277">
        <f>B20*C20*F20/365</f>
        <v>40000000</v>
      </c>
      <c r="H20" s="278"/>
      <c r="I20" s="279">
        <v>0</v>
      </c>
      <c r="J20" s="280">
        <f t="shared" ref="J20:J28" si="0">G20-I20</f>
        <v>40000000</v>
      </c>
      <c r="K20" s="386"/>
      <c r="L20" s="228"/>
      <c r="M20" s="228"/>
    </row>
    <row r="21" spans="1:256" s="265" customFormat="1" ht="39.75" customHeight="1" thickBot="1" x14ac:dyDescent="0.45">
      <c r="A21" s="1386" t="s">
        <v>193</v>
      </c>
      <c r="B21" s="1387"/>
      <c r="C21" s="1387"/>
      <c r="D21" s="1387"/>
      <c r="E21" s="1388"/>
      <c r="F21" s="262">
        <f>F20</f>
        <v>365</v>
      </c>
      <c r="G21" s="392">
        <f>G20</f>
        <v>40000000</v>
      </c>
      <c r="H21" s="272"/>
      <c r="I21" s="263">
        <f>SUM(I16:I20)</f>
        <v>0</v>
      </c>
      <c r="J21" s="389">
        <f t="shared" si="0"/>
        <v>40000000</v>
      </c>
      <c r="K21" s="391"/>
      <c r="L21" s="264"/>
      <c r="M21" s="264"/>
    </row>
    <row r="22" spans="1:256" s="265" customFormat="1" ht="40.5" hidden="1" customHeight="1" thickBot="1" x14ac:dyDescent="0.45">
      <c r="A22" s="1386">
        <v>1</v>
      </c>
      <c r="B22" s="1387">
        <v>500000000</v>
      </c>
      <c r="C22" s="1387">
        <v>0.08</v>
      </c>
      <c r="D22" s="1387">
        <v>42370</v>
      </c>
      <c r="E22" s="1388">
        <v>42735</v>
      </c>
      <c r="F22" s="281">
        <v>366</v>
      </c>
      <c r="G22" s="282">
        <f>B22*C22*F22/366</f>
        <v>40000000</v>
      </c>
      <c r="H22" s="278"/>
      <c r="I22" s="250">
        <v>0</v>
      </c>
      <c r="J22" s="242">
        <f t="shared" si="0"/>
        <v>40000000</v>
      </c>
      <c r="K22" s="391"/>
      <c r="L22" s="264"/>
      <c r="M22" s="264"/>
      <c r="IV22" s="265">
        <f>SUM(A22:IU22)</f>
        <v>580085472.07999992</v>
      </c>
    </row>
    <row r="23" spans="1:256" s="265" customFormat="1" ht="40.5" customHeight="1" thickBot="1" x14ac:dyDescent="0.45">
      <c r="A23" s="1386" t="s">
        <v>194</v>
      </c>
      <c r="B23" s="1387"/>
      <c r="C23" s="1387"/>
      <c r="D23" s="1387"/>
      <c r="E23" s="1388"/>
      <c r="F23" s="262">
        <f>SUM(F22:F22)</f>
        <v>366</v>
      </c>
      <c r="G23" s="392">
        <f>SUM(G22:G22)</f>
        <v>40000000</v>
      </c>
      <c r="H23" s="272"/>
      <c r="I23" s="263">
        <f>SUM(I19:I22)</f>
        <v>0</v>
      </c>
      <c r="J23" s="389">
        <f t="shared" si="0"/>
        <v>40000000</v>
      </c>
      <c r="K23" s="393"/>
      <c r="L23" s="264"/>
      <c r="M23" s="264"/>
    </row>
    <row r="24" spans="1:256" s="232" customFormat="1" ht="40.5" hidden="1" customHeight="1" thickBot="1" x14ac:dyDescent="0.45">
      <c r="A24" s="1386">
        <v>1</v>
      </c>
      <c r="B24" s="1387">
        <v>500000000</v>
      </c>
      <c r="C24" s="1387">
        <v>0.08</v>
      </c>
      <c r="D24" s="1387">
        <v>42736</v>
      </c>
      <c r="E24" s="1388">
        <v>43100</v>
      </c>
      <c r="F24" s="234">
        <v>365</v>
      </c>
      <c r="G24" s="239">
        <f>B24*C24*F24/365</f>
        <v>40000000</v>
      </c>
      <c r="H24" s="240"/>
      <c r="I24" s="283">
        <v>7955243</v>
      </c>
      <c r="J24" s="242">
        <f t="shared" si="0"/>
        <v>32044757</v>
      </c>
      <c r="K24" s="382"/>
    </row>
    <row r="25" spans="1:256" ht="39" customHeight="1" thickBot="1" x14ac:dyDescent="0.45">
      <c r="A25" s="1386" t="s">
        <v>195</v>
      </c>
      <c r="B25" s="1387"/>
      <c r="C25" s="1387"/>
      <c r="D25" s="1387"/>
      <c r="E25" s="1388"/>
      <c r="F25" s="262">
        <f>SUM(F24:F24)</f>
        <v>365</v>
      </c>
      <c r="G25" s="392">
        <f>SUM(G24:G24)</f>
        <v>40000000</v>
      </c>
      <c r="H25" s="272"/>
      <c r="I25" s="394">
        <f>I24</f>
        <v>7955243</v>
      </c>
      <c r="J25" s="389">
        <f t="shared" si="0"/>
        <v>32044757</v>
      </c>
      <c r="K25" s="382"/>
    </row>
    <row r="26" spans="1:256" ht="40.5" hidden="1" customHeight="1" thickBot="1" x14ac:dyDescent="0.45">
      <c r="A26" s="1386">
        <v>1</v>
      </c>
      <c r="B26" s="1387">
        <v>500000000</v>
      </c>
      <c r="C26" s="1387">
        <v>0.08</v>
      </c>
      <c r="D26" s="1387">
        <v>43101</v>
      </c>
      <c r="E26" s="1388">
        <v>43465</v>
      </c>
      <c r="F26" s="234">
        <v>365</v>
      </c>
      <c r="G26" s="239">
        <f>B26*C26*F26/365</f>
        <v>40000000</v>
      </c>
      <c r="H26" s="240"/>
      <c r="I26" s="283">
        <v>1824890.22</v>
      </c>
      <c r="J26" s="242">
        <f t="shared" si="0"/>
        <v>38175109.780000001</v>
      </c>
      <c r="K26" s="382"/>
    </row>
    <row r="27" spans="1:256" ht="34.5" customHeight="1" thickBot="1" x14ac:dyDescent="0.45">
      <c r="A27" s="1386" t="s">
        <v>196</v>
      </c>
      <c r="B27" s="1387"/>
      <c r="C27" s="1387"/>
      <c r="D27" s="1387"/>
      <c r="E27" s="1388"/>
      <c r="F27" s="262">
        <f>SUM(F26:F26)</f>
        <v>365</v>
      </c>
      <c r="G27" s="395">
        <f>SUM(G26:G26)</f>
        <v>40000000</v>
      </c>
      <c r="H27" s="284"/>
      <c r="I27" s="396">
        <f>I26</f>
        <v>1824890.22</v>
      </c>
      <c r="J27" s="397">
        <f t="shared" si="0"/>
        <v>38175109.780000001</v>
      </c>
      <c r="K27" s="382"/>
    </row>
    <row r="28" spans="1:256" ht="21.75" thickBot="1" x14ac:dyDescent="0.45">
      <c r="A28" s="262">
        <v>1</v>
      </c>
      <c r="B28" s="285">
        <v>500000000</v>
      </c>
      <c r="C28" s="286">
        <v>0.08</v>
      </c>
      <c r="D28" s="287">
        <v>43466</v>
      </c>
      <c r="E28" s="288">
        <v>43733</v>
      </c>
      <c r="F28" s="273">
        <v>268</v>
      </c>
      <c r="G28" s="289">
        <f>(B28*C28*268)/365</f>
        <v>29369863.01369863</v>
      </c>
      <c r="H28" s="289"/>
      <c r="I28" s="290">
        <f>600000+450000</f>
        <v>1050000</v>
      </c>
      <c r="J28" s="291">
        <f t="shared" si="0"/>
        <v>28319863.01369863</v>
      </c>
      <c r="K28" s="398"/>
    </row>
    <row r="29" spans="1:256" ht="21.75" thickBot="1" x14ac:dyDescent="0.45">
      <c r="A29" s="293">
        <v>2</v>
      </c>
      <c r="B29" s="289">
        <f>B28-H29</f>
        <v>496429496</v>
      </c>
      <c r="C29" s="286">
        <v>0.08</v>
      </c>
      <c r="D29" s="275">
        <v>43734</v>
      </c>
      <c r="E29" s="288">
        <v>43829</v>
      </c>
      <c r="F29" s="273">
        <v>96</v>
      </c>
      <c r="G29" s="289">
        <f>B29*C29*96/365</f>
        <v>10445420.628164383</v>
      </c>
      <c r="H29" s="289">
        <v>3570504</v>
      </c>
      <c r="I29" s="290"/>
      <c r="J29" s="291">
        <f>G29</f>
        <v>10445420.628164383</v>
      </c>
      <c r="K29" s="398"/>
    </row>
    <row r="30" spans="1:256" ht="21.75" thickBot="1" x14ac:dyDescent="0.45">
      <c r="A30" s="262">
        <v>3</v>
      </c>
      <c r="B30" s="289">
        <f>B29-H30</f>
        <v>495985496</v>
      </c>
      <c r="C30" s="286">
        <v>0.08</v>
      </c>
      <c r="D30" s="287">
        <v>43830</v>
      </c>
      <c r="E30" s="288">
        <v>43830</v>
      </c>
      <c r="F30" s="273">
        <v>1</v>
      </c>
      <c r="G30" s="289">
        <f>B30*C30*1/365</f>
        <v>108709.14980821918</v>
      </c>
      <c r="H30" s="289">
        <v>444000</v>
      </c>
      <c r="I30" s="290">
        <v>63000</v>
      </c>
      <c r="J30" s="291">
        <f>G30-I30</f>
        <v>45709.149808219183</v>
      </c>
      <c r="K30" s="398"/>
    </row>
    <row r="31" spans="1:256" ht="37.5" customHeight="1" thickBot="1" x14ac:dyDescent="0.45">
      <c r="A31" s="1391" t="s">
        <v>180</v>
      </c>
      <c r="B31" s="1392"/>
      <c r="C31" s="1392"/>
      <c r="D31" s="1392"/>
      <c r="E31" s="1393"/>
      <c r="F31" s="775">
        <v>365</v>
      </c>
      <c r="G31" s="776">
        <f>SUM(G28:G30)</f>
        <v>39923992.791671231</v>
      </c>
      <c r="H31" s="777">
        <f>SUM(H29:H30)</f>
        <v>4014504</v>
      </c>
      <c r="I31" s="776">
        <f>SUM(I28:I30)</f>
        <v>1113000</v>
      </c>
      <c r="J31" s="777">
        <f>J28+J29+J30</f>
        <v>38810992.791671231</v>
      </c>
      <c r="K31" s="398"/>
      <c r="M31" s="294"/>
      <c r="N31" s="360"/>
    </row>
    <row r="32" spans="1:256" ht="33" hidden="1" customHeight="1" thickBot="1" x14ac:dyDescent="0.45">
      <c r="A32" s="262">
        <v>1</v>
      </c>
      <c r="B32" s="289">
        <f>B30</f>
        <v>495985496</v>
      </c>
      <c r="C32" s="286">
        <v>0.08</v>
      </c>
      <c r="D32" s="287">
        <v>43831</v>
      </c>
      <c r="E32" s="288">
        <v>43878</v>
      </c>
      <c r="F32" s="295">
        <f t="shared" ref="F32:F47" si="1">+E32-D32+1</f>
        <v>48</v>
      </c>
      <c r="G32" s="289">
        <f>(B32*C32*F32)/366</f>
        <v>5203782.2531147534</v>
      </c>
      <c r="H32" s="289">
        <v>0</v>
      </c>
      <c r="I32" s="290"/>
      <c r="J32" s="291">
        <f t="shared" ref="J32:J60" si="2">G32-I32</f>
        <v>5203782.2531147534</v>
      </c>
      <c r="K32" s="398"/>
    </row>
    <row r="33" spans="1:11" ht="40.5" hidden="1" customHeight="1" thickBot="1" x14ac:dyDescent="0.45">
      <c r="A33" s="296">
        <v>2</v>
      </c>
      <c r="B33" s="289">
        <f>B32-H33</f>
        <v>495890615.13999999</v>
      </c>
      <c r="C33" s="274">
        <v>0.08</v>
      </c>
      <c r="D33" s="297">
        <v>43879</v>
      </c>
      <c r="E33" s="287">
        <v>43895</v>
      </c>
      <c r="F33" s="295">
        <f t="shared" si="1"/>
        <v>17</v>
      </c>
      <c r="G33" s="289">
        <f>B33*C33*F33/366</f>
        <v>1842653.6518863388</v>
      </c>
      <c r="H33" s="289">
        <v>94880.86</v>
      </c>
      <c r="I33" s="290"/>
      <c r="J33" s="291">
        <f t="shared" si="2"/>
        <v>1842653.6518863388</v>
      </c>
      <c r="K33" s="398"/>
    </row>
    <row r="34" spans="1:11" ht="40.5" hidden="1" customHeight="1" thickBot="1" x14ac:dyDescent="0.45">
      <c r="A34" s="293">
        <v>3</v>
      </c>
      <c r="B34" s="279">
        <f>B33-H34</f>
        <v>495840615.13999999</v>
      </c>
      <c r="C34" s="274">
        <v>0.08</v>
      </c>
      <c r="D34" s="275">
        <v>43896</v>
      </c>
      <c r="E34" s="298">
        <v>43906</v>
      </c>
      <c r="F34" s="295">
        <f t="shared" si="1"/>
        <v>11</v>
      </c>
      <c r="G34" s="289">
        <f>B34*C34*F34/366</f>
        <v>1192185.0855825136</v>
      </c>
      <c r="H34" s="289">
        <v>50000</v>
      </c>
      <c r="I34" s="290"/>
      <c r="J34" s="291">
        <f t="shared" si="2"/>
        <v>1192185.0855825136</v>
      </c>
      <c r="K34" s="398"/>
    </row>
    <row r="35" spans="1:11" ht="40.5" hidden="1" customHeight="1" thickBot="1" x14ac:dyDescent="0.45">
      <c r="A35" s="296">
        <v>4</v>
      </c>
      <c r="B35" s="289">
        <f>B34-H35</f>
        <v>495315615.13999999</v>
      </c>
      <c r="C35" s="274">
        <v>0.08</v>
      </c>
      <c r="D35" s="297">
        <v>43907</v>
      </c>
      <c r="E35" s="287">
        <v>43909</v>
      </c>
      <c r="F35" s="295">
        <f t="shared" si="1"/>
        <v>3</v>
      </c>
      <c r="G35" s="289">
        <f t="shared" ref="G35:G47" si="3">(B35*C35*F35)/366</f>
        <v>324797.12468196719</v>
      </c>
      <c r="H35" s="289">
        <v>525000</v>
      </c>
      <c r="I35" s="290"/>
      <c r="J35" s="291">
        <f t="shared" si="2"/>
        <v>324797.12468196719</v>
      </c>
      <c r="K35" s="398"/>
    </row>
    <row r="36" spans="1:11" ht="40.5" hidden="1" customHeight="1" thickBot="1" x14ac:dyDescent="0.45">
      <c r="A36" s="296">
        <v>5</v>
      </c>
      <c r="B36" s="289">
        <f>B35-H36</f>
        <v>494985615.13999999</v>
      </c>
      <c r="C36" s="274">
        <v>0.08</v>
      </c>
      <c r="D36" s="297">
        <v>43910</v>
      </c>
      <c r="E36" s="287">
        <v>43917</v>
      </c>
      <c r="F36" s="295">
        <f t="shared" si="1"/>
        <v>8</v>
      </c>
      <c r="G36" s="289">
        <f t="shared" si="3"/>
        <v>865548.61663825135</v>
      </c>
      <c r="H36" s="289">
        <v>330000</v>
      </c>
      <c r="I36" s="290"/>
      <c r="J36" s="291">
        <f t="shared" si="2"/>
        <v>865548.61663825135</v>
      </c>
      <c r="K36" s="398"/>
    </row>
    <row r="37" spans="1:11" ht="40.5" hidden="1" customHeight="1" thickBot="1" x14ac:dyDescent="0.45">
      <c r="A37" s="296">
        <v>6</v>
      </c>
      <c r="B37" s="289">
        <f>B36-H37</f>
        <v>494785615.13999999</v>
      </c>
      <c r="C37" s="299">
        <v>0.08</v>
      </c>
      <c r="D37" s="297">
        <v>43918</v>
      </c>
      <c r="E37" s="287">
        <v>43921</v>
      </c>
      <c r="F37" s="295">
        <f t="shared" si="1"/>
        <v>4</v>
      </c>
      <c r="G37" s="289">
        <f t="shared" si="3"/>
        <v>432599.4449311475</v>
      </c>
      <c r="H37" s="300">
        <v>200000</v>
      </c>
      <c r="I37" s="290"/>
      <c r="J37" s="291">
        <f t="shared" si="2"/>
        <v>432599.4449311475</v>
      </c>
      <c r="K37" s="382"/>
    </row>
    <row r="38" spans="1:11" ht="40.5" hidden="1" customHeight="1" thickBot="1" x14ac:dyDescent="0.45">
      <c r="A38" s="296">
        <v>7</v>
      </c>
      <c r="B38" s="289">
        <f t="shared" ref="B38:B58" si="4">B37-H38</f>
        <v>494407615.13999999</v>
      </c>
      <c r="C38" s="299">
        <v>0.08</v>
      </c>
      <c r="D38" s="287">
        <v>43922</v>
      </c>
      <c r="E38" s="297">
        <v>43935</v>
      </c>
      <c r="F38" s="295">
        <f t="shared" si="1"/>
        <v>14</v>
      </c>
      <c r="G38" s="289">
        <f t="shared" si="3"/>
        <v>1512941.3359475411</v>
      </c>
      <c r="H38" s="300">
        <v>378000</v>
      </c>
      <c r="I38" s="290"/>
      <c r="J38" s="291">
        <f t="shared" si="2"/>
        <v>1512941.3359475411</v>
      </c>
      <c r="K38" s="382"/>
    </row>
    <row r="39" spans="1:11" ht="0.75" hidden="1" customHeight="1" thickBot="1" x14ac:dyDescent="0.45">
      <c r="A39" s="296">
        <v>8</v>
      </c>
      <c r="B39" s="289">
        <f t="shared" si="4"/>
        <v>494312615.13999999</v>
      </c>
      <c r="C39" s="299">
        <v>0.08</v>
      </c>
      <c r="D39" s="287">
        <v>43936</v>
      </c>
      <c r="E39" s="297">
        <v>43940</v>
      </c>
      <c r="F39" s="295">
        <f t="shared" si="1"/>
        <v>5</v>
      </c>
      <c r="G39" s="289">
        <f t="shared" si="3"/>
        <v>540232.366273224</v>
      </c>
      <c r="H39" s="300">
        <v>95000</v>
      </c>
      <c r="I39" s="290"/>
      <c r="J39" s="291">
        <f t="shared" si="2"/>
        <v>540232.366273224</v>
      </c>
      <c r="K39" s="382"/>
    </row>
    <row r="40" spans="1:11" ht="40.5" hidden="1" customHeight="1" thickBot="1" x14ac:dyDescent="0.45">
      <c r="A40" s="296">
        <v>9</v>
      </c>
      <c r="B40" s="289">
        <f t="shared" si="4"/>
        <v>494082615.13999999</v>
      </c>
      <c r="C40" s="299">
        <v>0.08</v>
      </c>
      <c r="D40" s="287">
        <v>43941</v>
      </c>
      <c r="E40" s="287">
        <v>43941</v>
      </c>
      <c r="F40" s="295">
        <f t="shared" si="1"/>
        <v>1</v>
      </c>
      <c r="G40" s="289">
        <f t="shared" si="3"/>
        <v>107996.20003060109</v>
      </c>
      <c r="H40" s="300">
        <v>230000</v>
      </c>
      <c r="I40" s="290"/>
      <c r="J40" s="291">
        <f t="shared" si="2"/>
        <v>107996.20003060109</v>
      </c>
      <c r="K40" s="382"/>
    </row>
    <row r="41" spans="1:11" ht="40.5" hidden="1" customHeight="1" thickBot="1" x14ac:dyDescent="0.45">
      <c r="A41" s="296">
        <v>10</v>
      </c>
      <c r="B41" s="289">
        <f t="shared" si="4"/>
        <v>492982615.13999999</v>
      </c>
      <c r="C41" s="299">
        <v>0.08</v>
      </c>
      <c r="D41" s="287">
        <v>43942</v>
      </c>
      <c r="E41" s="297">
        <v>43942</v>
      </c>
      <c r="F41" s="295">
        <f t="shared" si="1"/>
        <v>1</v>
      </c>
      <c r="G41" s="289">
        <f t="shared" si="3"/>
        <v>107755.76287213115</v>
      </c>
      <c r="H41" s="300">
        <v>1100000</v>
      </c>
      <c r="I41" s="290"/>
      <c r="J41" s="291">
        <f t="shared" si="2"/>
        <v>107755.76287213115</v>
      </c>
      <c r="K41" s="382"/>
    </row>
    <row r="42" spans="1:11" ht="40.5" hidden="1" customHeight="1" thickBot="1" x14ac:dyDescent="0.45">
      <c r="A42" s="296">
        <v>11</v>
      </c>
      <c r="B42" s="289">
        <f t="shared" si="4"/>
        <v>492877615.13999999</v>
      </c>
      <c r="C42" s="299">
        <v>0.08</v>
      </c>
      <c r="D42" s="287">
        <v>43943</v>
      </c>
      <c r="E42" s="297">
        <v>43948</v>
      </c>
      <c r="F42" s="295">
        <f t="shared" si="1"/>
        <v>6</v>
      </c>
      <c r="G42" s="289">
        <f t="shared" si="3"/>
        <v>646396.87231475406</v>
      </c>
      <c r="H42" s="300">
        <v>105000</v>
      </c>
      <c r="I42" s="290"/>
      <c r="J42" s="291">
        <f t="shared" si="2"/>
        <v>646396.87231475406</v>
      </c>
      <c r="K42" s="382"/>
    </row>
    <row r="43" spans="1:11" ht="40.5" hidden="1" customHeight="1" thickBot="1" x14ac:dyDescent="0.45">
      <c r="A43" s="296">
        <v>12</v>
      </c>
      <c r="B43" s="289">
        <f t="shared" si="4"/>
        <v>492842615.13999999</v>
      </c>
      <c r="C43" s="299">
        <v>0.08</v>
      </c>
      <c r="D43" s="287">
        <v>43949</v>
      </c>
      <c r="E43" s="297">
        <v>43950</v>
      </c>
      <c r="F43" s="295">
        <f>+E43-D43+1</f>
        <v>2</v>
      </c>
      <c r="G43" s="289">
        <f t="shared" si="3"/>
        <v>215450.32355846994</v>
      </c>
      <c r="H43" s="300">
        <v>35000</v>
      </c>
      <c r="I43" s="290"/>
      <c r="J43" s="291">
        <f t="shared" si="2"/>
        <v>215450.32355846994</v>
      </c>
      <c r="K43" s="382"/>
    </row>
    <row r="44" spans="1:11" ht="40.5" hidden="1" customHeight="1" thickBot="1" x14ac:dyDescent="0.45">
      <c r="A44" s="296">
        <v>13</v>
      </c>
      <c r="B44" s="289">
        <f t="shared" si="4"/>
        <v>492832615.13999999</v>
      </c>
      <c r="C44" s="299">
        <v>0.08</v>
      </c>
      <c r="D44" s="287">
        <v>43951</v>
      </c>
      <c r="E44" s="297">
        <v>43962</v>
      </c>
      <c r="F44" s="295">
        <f>+E44-D44+1</f>
        <v>12</v>
      </c>
      <c r="G44" s="289">
        <f t="shared" si="3"/>
        <v>1292675.7118426228</v>
      </c>
      <c r="H44" s="300">
        <v>10000</v>
      </c>
      <c r="I44" s="290"/>
      <c r="J44" s="291">
        <f t="shared" si="2"/>
        <v>1292675.7118426228</v>
      </c>
      <c r="K44" s="382"/>
    </row>
    <row r="45" spans="1:11" ht="40.5" hidden="1" customHeight="1" thickBot="1" x14ac:dyDescent="0.45">
      <c r="A45" s="296">
        <v>14</v>
      </c>
      <c r="B45" s="289">
        <f t="shared" si="4"/>
        <v>492526615.13999999</v>
      </c>
      <c r="C45" s="299">
        <v>0.08</v>
      </c>
      <c r="D45" s="287">
        <v>43963</v>
      </c>
      <c r="E45" s="297">
        <v>43984</v>
      </c>
      <c r="F45" s="295">
        <f t="shared" si="1"/>
        <v>22</v>
      </c>
      <c r="G45" s="289">
        <f t="shared" si="3"/>
        <v>2368433.9963016394</v>
      </c>
      <c r="H45" s="300">
        <v>306000</v>
      </c>
      <c r="I45" s="290"/>
      <c r="J45" s="291">
        <f t="shared" si="2"/>
        <v>2368433.9963016394</v>
      </c>
      <c r="K45" s="382"/>
    </row>
    <row r="46" spans="1:11" ht="40.5" hidden="1" customHeight="1" thickBot="1" x14ac:dyDescent="0.45">
      <c r="A46" s="296">
        <v>15</v>
      </c>
      <c r="B46" s="289">
        <f t="shared" si="4"/>
        <v>492521615.13999999</v>
      </c>
      <c r="C46" s="299">
        <v>0.08</v>
      </c>
      <c r="D46" s="287">
        <v>43985</v>
      </c>
      <c r="E46" s="297">
        <v>44004</v>
      </c>
      <c r="F46" s="295">
        <f>+E46-D46+1</f>
        <v>20</v>
      </c>
      <c r="G46" s="289">
        <f t="shared" si="3"/>
        <v>2153099.9568961747</v>
      </c>
      <c r="H46" s="300">
        <v>5000</v>
      </c>
      <c r="I46" s="290"/>
      <c r="J46" s="291">
        <f t="shared" si="2"/>
        <v>2153099.9568961747</v>
      </c>
      <c r="K46" s="382"/>
    </row>
    <row r="47" spans="1:11" ht="39.75" hidden="1" customHeight="1" thickBot="1" x14ac:dyDescent="0.45">
      <c r="A47" s="296">
        <v>16</v>
      </c>
      <c r="B47" s="289">
        <f t="shared" si="4"/>
        <v>491221615.13999999</v>
      </c>
      <c r="C47" s="299">
        <v>0.08</v>
      </c>
      <c r="D47" s="287">
        <v>44005</v>
      </c>
      <c r="E47" s="297">
        <v>44012</v>
      </c>
      <c r="F47" s="295">
        <f t="shared" si="1"/>
        <v>8</v>
      </c>
      <c r="G47" s="289">
        <f t="shared" si="3"/>
        <v>858966.75871475402</v>
      </c>
      <c r="H47" s="300">
        <v>1300000</v>
      </c>
      <c r="I47" s="290"/>
      <c r="J47" s="291">
        <f t="shared" si="2"/>
        <v>858966.75871475402</v>
      </c>
      <c r="K47" s="382"/>
    </row>
    <row r="48" spans="1:11" ht="40.5" hidden="1" customHeight="1" thickBot="1" x14ac:dyDescent="0.45">
      <c r="A48" s="296">
        <v>17</v>
      </c>
      <c r="B48" s="289">
        <f t="shared" si="4"/>
        <v>491114615.13999999</v>
      </c>
      <c r="C48" s="299">
        <v>0.08</v>
      </c>
      <c r="D48" s="287">
        <v>44013</v>
      </c>
      <c r="E48" s="297">
        <v>44013</v>
      </c>
      <c r="F48" s="295">
        <f>+E48-D48+1</f>
        <v>1</v>
      </c>
      <c r="G48" s="289">
        <f>(B48*C48*F48)/366</f>
        <v>107347.45686120218</v>
      </c>
      <c r="H48" s="300">
        <v>107000</v>
      </c>
      <c r="I48" s="290"/>
      <c r="J48" s="291">
        <f t="shared" si="2"/>
        <v>107347.45686120218</v>
      </c>
      <c r="K48" s="382"/>
    </row>
    <row r="49" spans="1:13" ht="40.5" hidden="1" customHeight="1" thickBot="1" x14ac:dyDescent="0.45">
      <c r="A49" s="296">
        <v>18</v>
      </c>
      <c r="B49" s="289">
        <f t="shared" si="4"/>
        <v>491114615.13999999</v>
      </c>
      <c r="C49" s="299">
        <v>0.08</v>
      </c>
      <c r="D49" s="287">
        <v>44014</v>
      </c>
      <c r="E49" s="297">
        <v>44043</v>
      </c>
      <c r="F49" s="295">
        <f t="shared" ref="F49:F61" si="5">+E49-D49+1</f>
        <v>30</v>
      </c>
      <c r="G49" s="289">
        <f t="shared" ref="G49:G60" si="6">(B49*C49*F49)/366</f>
        <v>3220423.7058360656</v>
      </c>
      <c r="H49" s="300">
        <v>0</v>
      </c>
      <c r="I49" s="290"/>
      <c r="J49" s="291">
        <f t="shared" si="2"/>
        <v>3220423.7058360656</v>
      </c>
      <c r="K49" s="382"/>
    </row>
    <row r="50" spans="1:13" ht="40.5" hidden="1" customHeight="1" thickBot="1" x14ac:dyDescent="0.45">
      <c r="A50" s="296">
        <v>19</v>
      </c>
      <c r="B50" s="289">
        <f t="shared" si="4"/>
        <v>491114615.13999999</v>
      </c>
      <c r="C50" s="299">
        <v>0.08</v>
      </c>
      <c r="D50" s="287">
        <v>44044</v>
      </c>
      <c r="E50" s="297">
        <v>44052</v>
      </c>
      <c r="F50" s="295">
        <f t="shared" si="5"/>
        <v>9</v>
      </c>
      <c r="G50" s="289">
        <f t="shared" si="6"/>
        <v>966127.1117508196</v>
      </c>
      <c r="H50" s="300">
        <v>0</v>
      </c>
      <c r="I50" s="290"/>
      <c r="J50" s="291">
        <f t="shared" si="2"/>
        <v>966127.1117508196</v>
      </c>
      <c r="K50" s="382"/>
    </row>
    <row r="51" spans="1:13" ht="40.5" hidden="1" customHeight="1" thickBot="1" x14ac:dyDescent="0.45">
      <c r="A51" s="296">
        <v>20</v>
      </c>
      <c r="B51" s="289">
        <f t="shared" si="4"/>
        <v>491112615.13999999</v>
      </c>
      <c r="C51" s="299">
        <v>0.08</v>
      </c>
      <c r="D51" s="287">
        <v>44053</v>
      </c>
      <c r="E51" s="297">
        <v>44062</v>
      </c>
      <c r="F51" s="295">
        <f t="shared" si="5"/>
        <v>10</v>
      </c>
      <c r="G51" s="289">
        <f t="shared" si="6"/>
        <v>1073470.1970273224</v>
      </c>
      <c r="H51" s="300">
        <v>2000</v>
      </c>
      <c r="I51" s="290"/>
      <c r="J51" s="291">
        <f t="shared" si="2"/>
        <v>1073470.1970273224</v>
      </c>
      <c r="K51" s="382"/>
    </row>
    <row r="52" spans="1:13" s="382" customFormat="1" ht="40.5" hidden="1" customHeight="1" thickBot="1" x14ac:dyDescent="0.45">
      <c r="A52" s="296">
        <v>21</v>
      </c>
      <c r="B52" s="289">
        <f t="shared" si="4"/>
        <v>490062615.13999999</v>
      </c>
      <c r="C52" s="299">
        <v>0.08</v>
      </c>
      <c r="D52" s="287">
        <v>44063</v>
      </c>
      <c r="E52" s="297">
        <v>44074</v>
      </c>
      <c r="F52" s="295">
        <f t="shared" si="5"/>
        <v>12</v>
      </c>
      <c r="G52" s="289">
        <f>(B52*C52*F52)/366</f>
        <v>1285410.1380721312</v>
      </c>
      <c r="H52" s="300">
        <v>1050000</v>
      </c>
      <c r="I52" s="290"/>
      <c r="J52" s="291">
        <f t="shared" si="2"/>
        <v>1285410.1380721312</v>
      </c>
    </row>
    <row r="53" spans="1:13" ht="40.5" hidden="1" customHeight="1" thickBot="1" x14ac:dyDescent="0.45">
      <c r="A53" s="296">
        <v>22</v>
      </c>
      <c r="B53" s="289">
        <f t="shared" si="4"/>
        <v>490062615.13999999</v>
      </c>
      <c r="C53" s="299">
        <v>0.08</v>
      </c>
      <c r="D53" s="287">
        <v>44075</v>
      </c>
      <c r="E53" s="297">
        <v>44104</v>
      </c>
      <c r="F53" s="295">
        <f t="shared" si="5"/>
        <v>30</v>
      </c>
      <c r="G53" s="289">
        <f t="shared" si="6"/>
        <v>3213525.345180328</v>
      </c>
      <c r="H53" s="300">
        <v>0</v>
      </c>
      <c r="I53" s="290"/>
      <c r="J53" s="291">
        <f t="shared" si="2"/>
        <v>3213525.345180328</v>
      </c>
      <c r="K53" s="382"/>
    </row>
    <row r="54" spans="1:13" ht="40.5" hidden="1" customHeight="1" thickBot="1" x14ac:dyDescent="0.45">
      <c r="A54" s="296">
        <v>23</v>
      </c>
      <c r="B54" s="289">
        <f t="shared" si="4"/>
        <v>490062615.13999999</v>
      </c>
      <c r="C54" s="299">
        <v>0.08</v>
      </c>
      <c r="D54" s="287">
        <v>44105</v>
      </c>
      <c r="E54" s="297">
        <v>44129</v>
      </c>
      <c r="F54" s="295">
        <f t="shared" si="5"/>
        <v>25</v>
      </c>
      <c r="G54" s="289">
        <f t="shared" si="6"/>
        <v>2677937.7876502732</v>
      </c>
      <c r="H54" s="300"/>
      <c r="I54" s="290"/>
      <c r="J54" s="291">
        <f t="shared" si="2"/>
        <v>2677937.7876502732</v>
      </c>
      <c r="K54" s="382"/>
    </row>
    <row r="55" spans="1:13" ht="40.5" hidden="1" customHeight="1" thickBot="1" x14ac:dyDescent="0.45">
      <c r="A55" s="296">
        <v>24</v>
      </c>
      <c r="B55" s="289">
        <f t="shared" si="4"/>
        <v>489403615.13999999</v>
      </c>
      <c r="C55" s="299">
        <v>0.08</v>
      </c>
      <c r="D55" s="287">
        <v>44130</v>
      </c>
      <c r="E55" s="297">
        <v>44135</v>
      </c>
      <c r="F55" s="295">
        <f t="shared" si="5"/>
        <v>6</v>
      </c>
      <c r="G55" s="289">
        <f t="shared" si="6"/>
        <v>641840.80674098362</v>
      </c>
      <c r="H55" s="300">
        <v>659000</v>
      </c>
      <c r="I55" s="290"/>
      <c r="J55" s="291">
        <f>G55-I55</f>
        <v>641840.80674098362</v>
      </c>
      <c r="K55" s="382"/>
    </row>
    <row r="56" spans="1:13" ht="9.75" hidden="1" customHeight="1" thickBot="1" x14ac:dyDescent="0.45">
      <c r="A56" s="296">
        <v>25</v>
      </c>
      <c r="B56" s="289">
        <f t="shared" si="4"/>
        <v>489403615.13999999</v>
      </c>
      <c r="C56" s="299">
        <v>0.08</v>
      </c>
      <c r="D56" s="287">
        <v>44136</v>
      </c>
      <c r="E56" s="297">
        <v>44147</v>
      </c>
      <c r="F56" s="295">
        <f t="shared" si="5"/>
        <v>12</v>
      </c>
      <c r="G56" s="289">
        <f t="shared" si="6"/>
        <v>1283681.6134819672</v>
      </c>
      <c r="H56" s="300">
        <v>0</v>
      </c>
      <c r="I56" s="290"/>
      <c r="J56" s="291">
        <f t="shared" si="2"/>
        <v>1283681.6134819672</v>
      </c>
      <c r="K56" s="382"/>
    </row>
    <row r="57" spans="1:13" ht="40.5" hidden="1" customHeight="1" thickBot="1" x14ac:dyDescent="0.45">
      <c r="A57" s="296">
        <v>26</v>
      </c>
      <c r="B57" s="289">
        <f t="shared" si="4"/>
        <v>486228615.13999999</v>
      </c>
      <c r="C57" s="299">
        <v>0.08</v>
      </c>
      <c r="D57" s="287">
        <v>44148</v>
      </c>
      <c r="E57" s="297">
        <v>44150</v>
      </c>
      <c r="F57" s="295">
        <f t="shared" si="5"/>
        <v>3</v>
      </c>
      <c r="G57" s="289">
        <f t="shared" si="6"/>
        <v>318838.43615737703</v>
      </c>
      <c r="H57" s="300">
        <v>3175000</v>
      </c>
      <c r="I57" s="290"/>
      <c r="J57" s="291">
        <f t="shared" si="2"/>
        <v>318838.43615737703</v>
      </c>
      <c r="K57" s="382"/>
    </row>
    <row r="58" spans="1:13" ht="40.5" hidden="1" customHeight="1" thickBot="1" x14ac:dyDescent="0.45">
      <c r="A58" s="296">
        <v>27</v>
      </c>
      <c r="B58" s="289">
        <f t="shared" si="4"/>
        <v>486163615.13999999</v>
      </c>
      <c r="C58" s="299">
        <v>0.08</v>
      </c>
      <c r="D58" s="287">
        <v>44151</v>
      </c>
      <c r="E58" s="297">
        <v>44165</v>
      </c>
      <c r="F58" s="295">
        <f t="shared" si="5"/>
        <v>15</v>
      </c>
      <c r="G58" s="289">
        <f t="shared" si="6"/>
        <v>1593979.0660327869</v>
      </c>
      <c r="H58" s="300">
        <v>65000</v>
      </c>
      <c r="I58" s="290"/>
      <c r="J58" s="291">
        <f t="shared" si="2"/>
        <v>1593979.0660327869</v>
      </c>
      <c r="K58" s="382"/>
    </row>
    <row r="59" spans="1:13" ht="40.5" hidden="1" customHeight="1" thickBot="1" x14ac:dyDescent="0.45">
      <c r="A59" s="296">
        <v>28</v>
      </c>
      <c r="B59" s="289">
        <f>B58-H59</f>
        <v>486163615.13999999</v>
      </c>
      <c r="C59" s="299">
        <v>0.08</v>
      </c>
      <c r="D59" s="287">
        <v>44166</v>
      </c>
      <c r="E59" s="297">
        <v>44182</v>
      </c>
      <c r="F59" s="295">
        <f t="shared" si="5"/>
        <v>17</v>
      </c>
      <c r="G59" s="289">
        <f t="shared" si="6"/>
        <v>1806509.6081704916</v>
      </c>
      <c r="H59" s="300">
        <v>0</v>
      </c>
      <c r="I59" s="290"/>
      <c r="J59" s="291">
        <f t="shared" si="2"/>
        <v>1806509.6081704916</v>
      </c>
      <c r="K59" s="399"/>
    </row>
    <row r="60" spans="1:13" ht="40.5" hidden="1" customHeight="1" thickBot="1" x14ac:dyDescent="0.45">
      <c r="A60" s="296">
        <v>29</v>
      </c>
      <c r="B60" s="289">
        <f>B59-H60</f>
        <v>484163615.13999999</v>
      </c>
      <c r="C60" s="299">
        <v>0.08</v>
      </c>
      <c r="D60" s="287">
        <v>44183</v>
      </c>
      <c r="E60" s="297">
        <v>44187</v>
      </c>
      <c r="F60" s="295">
        <f>+E60-D60+1</f>
        <v>5</v>
      </c>
      <c r="G60" s="289">
        <f t="shared" si="6"/>
        <v>529140.56299453555</v>
      </c>
      <c r="H60" s="300">
        <v>2000000</v>
      </c>
      <c r="I60" s="290"/>
      <c r="J60" s="291">
        <f t="shared" si="2"/>
        <v>529140.56299453555</v>
      </c>
      <c r="K60" s="399"/>
    </row>
    <row r="61" spans="1:13" ht="9.75" hidden="1" customHeight="1" thickBot="1" x14ac:dyDescent="0.45">
      <c r="A61" s="296">
        <v>30</v>
      </c>
      <c r="B61" s="289">
        <f>B60-H61</f>
        <v>483610935.13999999</v>
      </c>
      <c r="C61" s="299">
        <v>0.08</v>
      </c>
      <c r="D61" s="287">
        <v>44188</v>
      </c>
      <c r="E61" s="297">
        <v>44196</v>
      </c>
      <c r="F61" s="295">
        <f t="shared" si="5"/>
        <v>9</v>
      </c>
      <c r="G61" s="289">
        <f>(B61*C61*F61)/366</f>
        <v>951365.77404590172</v>
      </c>
      <c r="H61" s="300">
        <v>552680</v>
      </c>
      <c r="I61" s="300">
        <v>320</v>
      </c>
      <c r="J61" s="291">
        <f>G61-I61</f>
        <v>951045.77404590172</v>
      </c>
      <c r="K61" s="399"/>
      <c r="M61" s="292"/>
    </row>
    <row r="62" spans="1:13" ht="40.5" customHeight="1" thickBot="1" x14ac:dyDescent="0.45">
      <c r="A62" s="1394" t="s">
        <v>179</v>
      </c>
      <c r="B62" s="1395"/>
      <c r="C62" s="1395"/>
      <c r="D62" s="1395"/>
      <c r="E62" s="1396"/>
      <c r="F62" s="437">
        <f>SUM(F32:F61)</f>
        <v>366</v>
      </c>
      <c r="G62" s="438">
        <f>SUM(G32:G61)</f>
        <v>39335113.071589068</v>
      </c>
      <c r="H62" s="439">
        <f>SUM(H32:H61)</f>
        <v>12374560.859999999</v>
      </c>
      <c r="I62" s="440">
        <f>SUM(I53:I61)</f>
        <v>320</v>
      </c>
      <c r="J62" s="441">
        <f>SUM(J32:J61)</f>
        <v>39334793.071589068</v>
      </c>
      <c r="K62" s="399"/>
      <c r="M62" s="292"/>
    </row>
    <row r="63" spans="1:13" ht="36.75" customHeight="1" thickBot="1" x14ac:dyDescent="0.45">
      <c r="A63" s="443">
        <v>1</v>
      </c>
      <c r="B63" s="415">
        <f>B61-H63</f>
        <v>483610935.13999999</v>
      </c>
      <c r="C63" s="407">
        <v>0.08</v>
      </c>
      <c r="D63" s="408">
        <v>44197</v>
      </c>
      <c r="E63" s="409">
        <v>44561</v>
      </c>
      <c r="F63" s="444">
        <f>+E63-D63+1</f>
        <v>365</v>
      </c>
      <c r="G63" s="406">
        <f>(B63*C63*F63)/365</f>
        <v>38688874.8112</v>
      </c>
      <c r="H63" s="410"/>
      <c r="I63" s="410"/>
      <c r="J63" s="411">
        <f>G63-I63</f>
        <v>38688874.8112</v>
      </c>
      <c r="K63" s="399">
        <f>+B63*C63</f>
        <v>38688874.8112</v>
      </c>
      <c r="M63" s="292"/>
    </row>
    <row r="64" spans="1:13" ht="40.5" customHeight="1" thickBot="1" x14ac:dyDescent="0.45">
      <c r="A64" s="1397" t="s">
        <v>181</v>
      </c>
      <c r="B64" s="1398"/>
      <c r="C64" s="1398"/>
      <c r="D64" s="1398"/>
      <c r="E64" s="1399"/>
      <c r="F64" s="486">
        <f>+F63</f>
        <v>365</v>
      </c>
      <c r="G64" s="487">
        <f>+G63</f>
        <v>38688874.8112</v>
      </c>
      <c r="H64" s="488">
        <f>+H63</f>
        <v>0</v>
      </c>
      <c r="I64" s="488">
        <f>+I63</f>
        <v>0</v>
      </c>
      <c r="J64" s="489">
        <f>+J63</f>
        <v>38688874.8112</v>
      </c>
      <c r="K64" s="399"/>
      <c r="L64" s="294">
        <f>500000000-B63</f>
        <v>16389064.860000014</v>
      </c>
      <c r="M64" s="292"/>
    </row>
    <row r="65" spans="1:13" ht="40.5" customHeight="1" thickBot="1" x14ac:dyDescent="0.45">
      <c r="A65" s="1400" t="s">
        <v>132</v>
      </c>
      <c r="B65" s="1401"/>
      <c r="C65" s="1401"/>
      <c r="D65" s="1401"/>
      <c r="E65" s="1402"/>
      <c r="F65" s="445">
        <f>F9+F13+F19+F21+F23+F25+F27+F31+F62+F64</f>
        <v>3533</v>
      </c>
      <c r="G65" s="412">
        <f>G9+G13+G19+G21+G23+G25+G27+G31+G62+G64</f>
        <v>361042826.84558088</v>
      </c>
      <c r="H65" s="400">
        <f>H31+H62+H64</f>
        <v>16389064.859999999</v>
      </c>
      <c r="I65" s="414">
        <f>I25+I27+I31+I62+I64</f>
        <v>10893453.220000001</v>
      </c>
      <c r="J65" s="413">
        <f>J9+J13+J19+J21+J23+J25+J27+J31+J62+J64</f>
        <v>350149373.62558091</v>
      </c>
      <c r="K65" s="401">
        <f>B63+J65</f>
        <v>833760308.76558089</v>
      </c>
    </row>
    <row r="66" spans="1:13" ht="40.5" customHeight="1" thickBot="1" x14ac:dyDescent="0.45">
      <c r="A66" s="1403" t="s">
        <v>173</v>
      </c>
      <c r="B66" s="1404"/>
      <c r="C66" s="1404"/>
      <c r="D66" s="1404"/>
      <c r="E66" s="1405"/>
      <c r="F66" s="1406">
        <f>+J65+B63</f>
        <v>833760308.76558089</v>
      </c>
      <c r="G66" s="1407"/>
      <c r="H66" s="1407"/>
      <c r="I66" s="1407"/>
      <c r="J66" s="1408"/>
      <c r="K66" s="398">
        <v>200000000</v>
      </c>
      <c r="L66" s="301">
        <f>+F66+K66</f>
        <v>1033760308.7655809</v>
      </c>
    </row>
    <row r="67" spans="1:13" ht="40.5" customHeight="1" thickBot="1" x14ac:dyDescent="0.45">
      <c r="A67" s="382"/>
      <c r="B67" s="402"/>
      <c r="C67" s="403"/>
      <c r="D67" s="404"/>
      <c r="E67" s="405"/>
      <c r="F67" s="1406" t="s">
        <v>250</v>
      </c>
      <c r="G67" s="1407"/>
      <c r="H67" s="1407"/>
      <c r="I67" s="1407"/>
      <c r="J67" s="1408"/>
      <c r="K67" s="398"/>
      <c r="L67" s="292">
        <v>1000000000</v>
      </c>
    </row>
    <row r="68" spans="1:13" ht="40.5" customHeight="1" x14ac:dyDescent="0.4">
      <c r="B68" s="9"/>
      <c r="C68" s="4"/>
      <c r="D68" s="15"/>
      <c r="E68" s="6"/>
      <c r="F68" s="6"/>
      <c r="G68" s="23"/>
      <c r="H68" s="24"/>
      <c r="I68" s="208"/>
      <c r="J68" s="27"/>
      <c r="K68" s="292"/>
      <c r="L68" s="360">
        <f>+L66-L67</f>
        <v>33760308.765580893</v>
      </c>
      <c r="M68" s="294">
        <f>+L68+J65</f>
        <v>383909682.3911618</v>
      </c>
    </row>
    <row r="69" spans="1:13" ht="40.5" customHeight="1" x14ac:dyDescent="0.4">
      <c r="B69" s="9"/>
      <c r="C69"/>
      <c r="D69" s="31"/>
      <c r="E69" s="31"/>
      <c r="F69" s="31"/>
      <c r="G69" s="446">
        <v>333931845.27999997</v>
      </c>
      <c r="H69" s="447">
        <f>+J65-G69</f>
        <v>16217528.345580935</v>
      </c>
      <c r="I69" s="31"/>
      <c r="J69" s="27"/>
      <c r="K69" s="360"/>
    </row>
    <row r="70" spans="1:13" ht="40.5" customHeight="1" x14ac:dyDescent="0.4">
      <c r="B70" s="1389"/>
      <c r="C70" s="1389"/>
      <c r="D70" s="1389"/>
      <c r="E70" s="1389"/>
      <c r="F70" s="302"/>
      <c r="G70" s="1390"/>
      <c r="H70" s="1390"/>
      <c r="I70" s="1390"/>
      <c r="J70" s="303"/>
      <c r="K70" s="301"/>
    </row>
    <row r="71" spans="1:13" ht="40.5" customHeight="1" x14ac:dyDescent="0.4">
      <c r="G71" s="301"/>
      <c r="H71" s="301"/>
      <c r="I71" s="294"/>
      <c r="J71" s="294"/>
    </row>
    <row r="72" spans="1:13" ht="40.5" customHeight="1" x14ac:dyDescent="0.4">
      <c r="I72" s="294"/>
    </row>
    <row r="73" spans="1:13" ht="40.5" customHeight="1" x14ac:dyDescent="0.4">
      <c r="I73" s="294"/>
    </row>
  </sheetData>
  <mergeCells count="35">
    <mergeCell ref="B70:E70"/>
    <mergeCell ref="G70:I70"/>
    <mergeCell ref="A24:E24"/>
    <mergeCell ref="A25:E25"/>
    <mergeCell ref="A26:E26"/>
    <mergeCell ref="A27:E27"/>
    <mergeCell ref="A31:E31"/>
    <mergeCell ref="A62:E62"/>
    <mergeCell ref="A64:E64"/>
    <mergeCell ref="A65:E65"/>
    <mergeCell ref="A66:E66"/>
    <mergeCell ref="F66:J66"/>
    <mergeCell ref="F67:J67"/>
    <mergeCell ref="A23:E23"/>
    <mergeCell ref="A9:E9"/>
    <mergeCell ref="A13:E13"/>
    <mergeCell ref="A14:E14"/>
    <mergeCell ref="A15:E15"/>
    <mergeCell ref="A16:E16"/>
    <mergeCell ref="A17:E17"/>
    <mergeCell ref="A18:E18"/>
    <mergeCell ref="A19:E19"/>
    <mergeCell ref="A20:E20"/>
    <mergeCell ref="A21:E21"/>
    <mergeCell ref="A22:E22"/>
    <mergeCell ref="A1:J1"/>
    <mergeCell ref="A2:J2"/>
    <mergeCell ref="A4:A5"/>
    <mergeCell ref="B4:B5"/>
    <mergeCell ref="C4:C5"/>
    <mergeCell ref="D4:E5"/>
    <mergeCell ref="F4:F5"/>
    <mergeCell ref="G4:G5"/>
    <mergeCell ref="H4:I4"/>
    <mergeCell ref="J4:J5"/>
  </mergeCells>
  <pageMargins left="0.19685039370078741" right="0.19685039370078741" top="0.19685039370078741" bottom="0.23622047244094491" header="0.19685039370078741" footer="0.27559055118110237"/>
  <pageSetup paperSize="9" scale="60" orientation="landscape" verticalDpi="0" r:id="rId1"/>
  <rowBreaks count="1" manualBreakCount="1">
    <brk id="67"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70" zoomScaleNormal="70" zoomScaleSheetLayoutView="100" workbookViewId="0">
      <selection sqref="A1:F22"/>
    </sheetView>
  </sheetViews>
  <sheetFormatPr defaultColWidth="8.85546875" defaultRowHeight="14.25" x14ac:dyDescent="0.2"/>
  <cols>
    <col min="1" max="1" width="4.7109375" style="131" customWidth="1"/>
    <col min="2" max="2" width="47.5703125" style="101" customWidth="1"/>
    <col min="3" max="3" width="23.85546875" style="59" customWidth="1"/>
    <col min="4" max="4" width="16.5703125" style="59" customWidth="1"/>
    <col min="5" max="5" width="23.7109375" style="59" customWidth="1"/>
    <col min="6" max="6" width="20" style="130" customWidth="1"/>
    <col min="7" max="7" width="28.85546875" style="59" hidden="1" customWidth="1"/>
    <col min="8" max="8" width="0.140625" style="59" customWidth="1"/>
    <col min="9" max="9" width="27.85546875" style="59" customWidth="1"/>
    <col min="10" max="10" width="20.42578125" style="59" bestFit="1" customWidth="1"/>
    <col min="11" max="16384" width="8.85546875" style="59"/>
  </cols>
  <sheetData>
    <row r="1" spans="1:10" ht="46.5" customHeight="1" x14ac:dyDescent="0.2">
      <c r="A1" s="1165" t="s">
        <v>287</v>
      </c>
      <c r="B1" s="1166"/>
      <c r="C1" s="1166"/>
      <c r="D1" s="1166"/>
      <c r="E1" s="1166"/>
      <c r="F1" s="1167"/>
      <c r="G1" s="327"/>
      <c r="H1" s="327"/>
    </row>
    <row r="2" spans="1:10" ht="22.5" customHeight="1" thickBot="1" x14ac:dyDescent="0.25">
      <c r="A2" s="1168" t="s">
        <v>95</v>
      </c>
      <c r="B2" s="1169"/>
      <c r="C2" s="1169"/>
      <c r="D2" s="1169"/>
      <c r="E2" s="1169"/>
      <c r="F2" s="1170"/>
    </row>
    <row r="3" spans="1:10" ht="27.75" customHeight="1" x14ac:dyDescent="0.2">
      <c r="A3" s="1171" t="s">
        <v>28</v>
      </c>
      <c r="B3" s="1173" t="s">
        <v>96</v>
      </c>
      <c r="C3" s="1175" t="s">
        <v>262</v>
      </c>
      <c r="D3" s="1177" t="s">
        <v>97</v>
      </c>
      <c r="E3" s="1179" t="s">
        <v>292</v>
      </c>
      <c r="F3" s="1175" t="s">
        <v>137</v>
      </c>
      <c r="G3" s="1155" t="s">
        <v>148</v>
      </c>
      <c r="H3" s="1156" t="s">
        <v>137</v>
      </c>
    </row>
    <row r="4" spans="1:10" ht="33.75" customHeight="1" thickBot="1" x14ac:dyDescent="0.25">
      <c r="A4" s="1172"/>
      <c r="B4" s="1174"/>
      <c r="C4" s="1176"/>
      <c r="D4" s="1178"/>
      <c r="E4" s="1180"/>
      <c r="F4" s="1176"/>
      <c r="G4" s="1155"/>
      <c r="H4" s="1156"/>
    </row>
    <row r="5" spans="1:10" ht="57" customHeight="1" thickBot="1" x14ac:dyDescent="0.25">
      <c r="A5" s="1026">
        <v>1</v>
      </c>
      <c r="B5" s="1027" t="s">
        <v>102</v>
      </c>
      <c r="C5" s="1028">
        <v>23000.940999999999</v>
      </c>
      <c r="D5" s="1029" t="s">
        <v>99</v>
      </c>
      <c r="E5" s="765">
        <v>0</v>
      </c>
      <c r="F5" s="1025">
        <f>C5-E5</f>
        <v>23000.940999999999</v>
      </c>
      <c r="G5" s="324">
        <f>(2250000000-112500000-2000000-400000-400000)/1000</f>
        <v>2134700</v>
      </c>
      <c r="H5" s="132">
        <f>E5-G5</f>
        <v>-2134700</v>
      </c>
      <c r="J5" s="485"/>
    </row>
    <row r="6" spans="1:10" ht="57" customHeight="1" thickBot="1" x14ac:dyDescent="0.25">
      <c r="A6" s="764">
        <v>2</v>
      </c>
      <c r="B6" s="1030" t="s">
        <v>136</v>
      </c>
      <c r="C6" s="1031">
        <v>59009.616000000002</v>
      </c>
      <c r="D6" s="1032" t="s">
        <v>295</v>
      </c>
      <c r="E6" s="478">
        <v>59009.616000000002</v>
      </c>
      <c r="F6" s="1023">
        <f>C6-E6</f>
        <v>0</v>
      </c>
      <c r="G6" s="324"/>
      <c r="H6" s="132"/>
      <c r="J6" s="485"/>
    </row>
    <row r="7" spans="1:10" ht="68.25" customHeight="1" thickBot="1" x14ac:dyDescent="0.25">
      <c r="A7" s="1026">
        <v>3</v>
      </c>
      <c r="B7" s="1033" t="s">
        <v>103</v>
      </c>
      <c r="C7" s="1034">
        <v>483610.93514000002</v>
      </c>
      <c r="D7" s="1035" t="s">
        <v>61</v>
      </c>
      <c r="E7" s="761">
        <v>483610.93514000002</v>
      </c>
      <c r="F7" s="1024">
        <f>C7-E7</f>
        <v>0</v>
      </c>
      <c r="G7" s="324">
        <f>(530000000-106000000-106000000)/1000</f>
        <v>318000</v>
      </c>
      <c r="H7" s="132">
        <f>E7-G7</f>
        <v>165610.93514000002</v>
      </c>
    </row>
    <row r="8" spans="1:10" ht="67.5" customHeight="1" thickBot="1" x14ac:dyDescent="0.25">
      <c r="A8" s="764">
        <v>4</v>
      </c>
      <c r="B8" s="1030" t="s">
        <v>98</v>
      </c>
      <c r="C8" s="1036">
        <v>2133292.548</v>
      </c>
      <c r="D8" s="1037" t="s">
        <v>99</v>
      </c>
      <c r="E8" s="478">
        <f>+'Ба Вазир 01-04-22'!L10</f>
        <v>2133274.8479999998</v>
      </c>
      <c r="F8" s="1023">
        <f>C8-E8</f>
        <v>17.700000000186265</v>
      </c>
      <c r="G8" s="325">
        <v>153790.09099999999</v>
      </c>
      <c r="H8" s="132">
        <v>0</v>
      </c>
      <c r="J8" s="789"/>
    </row>
    <row r="9" spans="1:10" ht="77.25" customHeight="1" thickBot="1" x14ac:dyDescent="0.25">
      <c r="A9" s="1026">
        <v>5</v>
      </c>
      <c r="B9" s="1033" t="s">
        <v>100</v>
      </c>
      <c r="C9" s="1038">
        <v>1023712.044</v>
      </c>
      <c r="D9" s="1039" t="s">
        <v>68</v>
      </c>
      <c r="E9" s="761">
        <v>1020528.571</v>
      </c>
      <c r="F9" s="1024">
        <f t="shared" ref="F9:F14" si="0">C9-E9</f>
        <v>3183.4729999999981</v>
      </c>
      <c r="G9" s="325">
        <v>10000</v>
      </c>
      <c r="H9" s="132">
        <f t="shared" ref="H9:H14" si="1">E9-G9</f>
        <v>1010528.571</v>
      </c>
    </row>
    <row r="10" spans="1:10" ht="46.5" customHeight="1" thickBot="1" x14ac:dyDescent="0.25">
      <c r="A10" s="764">
        <v>6</v>
      </c>
      <c r="B10" s="1030" t="s">
        <v>101</v>
      </c>
      <c r="C10" s="1031">
        <v>121999.067</v>
      </c>
      <c r="D10" s="1040" t="s">
        <v>60</v>
      </c>
      <c r="E10" s="478">
        <v>121999.067</v>
      </c>
      <c r="F10" s="1023">
        <f>C10-E10</f>
        <v>0</v>
      </c>
      <c r="G10" s="325">
        <f>59009616/1000</f>
        <v>59009.616000000002</v>
      </c>
      <c r="H10" s="132">
        <f t="shared" si="1"/>
        <v>62989.450999999994</v>
      </c>
    </row>
    <row r="11" spans="1:10" ht="60" customHeight="1" thickBot="1" x14ac:dyDescent="0.25">
      <c r="A11" s="1026">
        <v>7</v>
      </c>
      <c r="B11" s="1041" t="s">
        <v>100</v>
      </c>
      <c r="C11" s="1034">
        <v>200000</v>
      </c>
      <c r="D11" s="1042" t="s">
        <v>104</v>
      </c>
      <c r="E11" s="761">
        <v>200000</v>
      </c>
      <c r="F11" s="1024">
        <f>C11-E11</f>
        <v>0</v>
      </c>
      <c r="G11" s="325">
        <v>490062.61514000001</v>
      </c>
      <c r="H11" s="132">
        <f t="shared" si="1"/>
        <v>-290062.61514000001</v>
      </c>
    </row>
    <row r="12" spans="1:10" ht="66.75" customHeight="1" thickBot="1" x14ac:dyDescent="0.25">
      <c r="A12" s="764">
        <v>8</v>
      </c>
      <c r="B12" s="1030" t="s">
        <v>22</v>
      </c>
      <c r="C12" s="1043">
        <v>10000</v>
      </c>
      <c r="D12" s="1032" t="s">
        <v>67</v>
      </c>
      <c r="E12" s="478">
        <v>10000</v>
      </c>
      <c r="F12" s="1023">
        <f t="shared" si="0"/>
        <v>0</v>
      </c>
      <c r="G12" s="325">
        <v>200000</v>
      </c>
      <c r="H12" s="132">
        <f t="shared" si="1"/>
        <v>-190000</v>
      </c>
    </row>
    <row r="13" spans="1:10" ht="61.5" customHeight="1" thickBot="1" x14ac:dyDescent="0.25">
      <c r="A13" s="1026">
        <v>9</v>
      </c>
      <c r="B13" s="1044" t="s">
        <v>19</v>
      </c>
      <c r="C13" s="1045">
        <f>+'Ба Вазир 01-04-22'!H15</f>
        <v>49875.1873416667</v>
      </c>
      <c r="D13" s="1039" t="s">
        <v>21</v>
      </c>
      <c r="E13" s="761">
        <f>+'Ба Вазир 01-04-22'!L15</f>
        <v>39900.149873333299</v>
      </c>
      <c r="F13" s="1046">
        <f t="shared" si="0"/>
        <v>9975.0374683334012</v>
      </c>
      <c r="G13" s="790">
        <v>103740.38967</v>
      </c>
      <c r="H13" s="791">
        <f t="shared" si="1"/>
        <v>-63840.239796666705</v>
      </c>
    </row>
    <row r="14" spans="1:10" ht="53.25" customHeight="1" thickBot="1" x14ac:dyDescent="0.25">
      <c r="A14" s="764">
        <v>10</v>
      </c>
      <c r="B14" s="1030" t="s">
        <v>134</v>
      </c>
      <c r="C14" s="1043">
        <v>953000</v>
      </c>
      <c r="D14" s="1037" t="s">
        <v>105</v>
      </c>
      <c r="E14" s="478">
        <v>925000</v>
      </c>
      <c r="F14" s="1023">
        <f t="shared" si="0"/>
        <v>28000</v>
      </c>
      <c r="G14" s="325">
        <f>1165000-88000-18000</f>
        <v>1059000</v>
      </c>
      <c r="H14" s="132">
        <f t="shared" si="1"/>
        <v>-134000</v>
      </c>
      <c r="J14" s="789"/>
    </row>
    <row r="15" spans="1:10" ht="40.5" customHeight="1" thickBot="1" x14ac:dyDescent="0.25">
      <c r="A15" s="1157" t="s">
        <v>154</v>
      </c>
      <c r="B15" s="1158"/>
      <c r="C15" s="1021">
        <f>SUM(C5:C14)</f>
        <v>5057500.3384816665</v>
      </c>
      <c r="D15" s="934">
        <f>SUM(D8:D13)</f>
        <v>0</v>
      </c>
      <c r="E15" s="1022">
        <f>SUM(E5:E14)</f>
        <v>4993323.1870133337</v>
      </c>
      <c r="F15" s="1020">
        <f>C15-E15</f>
        <v>64177.151468332857</v>
      </c>
      <c r="G15" s="326">
        <f>SUM(G5:G14)</f>
        <v>4528302.7118100002</v>
      </c>
      <c r="H15" s="133">
        <f>G15-E15</f>
        <v>-465020.47520333342</v>
      </c>
    </row>
    <row r="16" spans="1:10" ht="47.25" customHeight="1" x14ac:dyDescent="0.2">
      <c r="A16" s="1047"/>
      <c r="B16" s="1048"/>
      <c r="C16" s="1048"/>
      <c r="D16" s="1048"/>
      <c r="E16" s="1048"/>
      <c r="F16" s="1049"/>
    </row>
    <row r="17" spans="1:8" ht="26.25" customHeight="1" x14ac:dyDescent="0.2">
      <c r="A17" s="1159" t="s">
        <v>155</v>
      </c>
      <c r="B17" s="1160"/>
      <c r="C17" s="1050">
        <v>2021</v>
      </c>
      <c r="D17" s="1161">
        <v>44286</v>
      </c>
      <c r="E17" s="1162"/>
      <c r="F17" s="1051" t="s">
        <v>156</v>
      </c>
      <c r="G17" s="131"/>
      <c r="H17" s="211">
        <v>2020</v>
      </c>
    </row>
    <row r="18" spans="1:8" ht="18" x14ac:dyDescent="0.2">
      <c r="A18" s="1145" t="s">
        <v>106</v>
      </c>
      <c r="B18" s="1146"/>
      <c r="C18" s="1052">
        <v>98910.7</v>
      </c>
      <c r="D18" s="1163">
        <v>103984</v>
      </c>
      <c r="E18" s="1164"/>
      <c r="F18" s="1053">
        <f>+D18-C18</f>
        <v>5073.3000000000029</v>
      </c>
      <c r="G18" s="131"/>
      <c r="H18" s="134">
        <v>87379</v>
      </c>
    </row>
    <row r="19" spans="1:8" ht="18" x14ac:dyDescent="0.2">
      <c r="A19" s="1145" t="s">
        <v>107</v>
      </c>
      <c r="B19" s="1146"/>
      <c r="C19" s="1054">
        <v>7996.88</v>
      </c>
      <c r="D19" s="1147">
        <f>+D18/D21</f>
        <v>8023.4567901234559</v>
      </c>
      <c r="E19" s="1148"/>
      <c r="F19" s="1053">
        <f>D19-C19</f>
        <v>26.576790123455794</v>
      </c>
      <c r="G19" s="131"/>
      <c r="H19" s="134">
        <f>H18/H21</f>
        <v>8566.5686274509808</v>
      </c>
    </row>
    <row r="20" spans="1:8" s="135" customFormat="1" ht="18" x14ac:dyDescent="0.2">
      <c r="A20" s="1149" t="s">
        <v>108</v>
      </c>
      <c r="B20" s="1150"/>
      <c r="C20" s="999">
        <f>C15/C18/1000</f>
        <v>5.1131984087481604E-2</v>
      </c>
      <c r="D20" s="1151">
        <f>+E15/D18/1000</f>
        <v>4.8020110661383807E-2</v>
      </c>
      <c r="E20" s="1151"/>
      <c r="F20" s="1055">
        <f>+D20-C20</f>
        <v>-3.111873426097797E-3</v>
      </c>
      <c r="G20" s="131"/>
      <c r="H20" s="136">
        <f>G15/H18/1000</f>
        <v>5.1823695759965212E-2</v>
      </c>
    </row>
    <row r="21" spans="1:8" ht="22.5" customHeight="1" x14ac:dyDescent="0.2">
      <c r="A21" s="1152" t="s">
        <v>153</v>
      </c>
      <c r="B21" s="1153"/>
      <c r="C21" s="1056">
        <v>10.321899999999999</v>
      </c>
      <c r="D21" s="1154">
        <v>12.96</v>
      </c>
      <c r="E21" s="1154"/>
      <c r="F21" s="1057">
        <f>+D21-C21</f>
        <v>2.6381000000000014</v>
      </c>
      <c r="G21" s="131"/>
      <c r="H21" s="134">
        <v>10.199999999999999</v>
      </c>
    </row>
    <row r="22" spans="1:8" ht="27" customHeight="1" thickBot="1" x14ac:dyDescent="0.25">
      <c r="A22" s="1058" t="s">
        <v>159</v>
      </c>
      <c r="B22" s="1059"/>
      <c r="C22" s="1060">
        <f>C15/C21</f>
        <v>489977.6531919188</v>
      </c>
      <c r="D22" s="1144">
        <f>+E15/D21</f>
        <v>385287.28294855967</v>
      </c>
      <c r="E22" s="1144"/>
      <c r="F22" s="1061">
        <f>+D22-C22</f>
        <v>-104690.37024335912</v>
      </c>
      <c r="G22" s="131"/>
      <c r="H22" s="134">
        <f>G15/H21</f>
        <v>443951.24625588243</v>
      </c>
    </row>
    <row r="25" spans="1:8" ht="20.25" x14ac:dyDescent="0.2">
      <c r="A25" s="59"/>
      <c r="B25" s="138" t="s">
        <v>94</v>
      </c>
      <c r="C25" s="138"/>
      <c r="D25" s="138"/>
      <c r="E25" s="684">
        <f>+E15/D18/1000</f>
        <v>4.8020110661383807E-2</v>
      </c>
    </row>
    <row r="26" spans="1:8" ht="18" x14ac:dyDescent="0.2">
      <c r="A26" s="59"/>
      <c r="B26" s="139" t="s">
        <v>94</v>
      </c>
      <c r="C26" s="139"/>
      <c r="D26" s="139"/>
      <c r="E26" s="139"/>
      <c r="F26" s="140"/>
    </row>
    <row r="27" spans="1:8" ht="18" x14ac:dyDescent="0.2">
      <c r="A27" s="59"/>
      <c r="B27" s="139"/>
      <c r="D27" s="139"/>
      <c r="E27" s="685">
        <f>5434403000/D21</f>
        <v>419321219.13580245</v>
      </c>
      <c r="F27" s="140"/>
    </row>
    <row r="28" spans="1:8" ht="18" x14ac:dyDescent="0.2">
      <c r="A28" s="59"/>
      <c r="B28" s="139"/>
      <c r="D28" s="139"/>
      <c r="F28" s="140"/>
    </row>
    <row r="29" spans="1:8" ht="18" x14ac:dyDescent="0.2">
      <c r="A29" s="59"/>
      <c r="B29" s="139"/>
      <c r="D29" s="139"/>
      <c r="F29" s="140"/>
    </row>
    <row r="30" spans="1:8" ht="18" x14ac:dyDescent="0.2">
      <c r="A30" s="59"/>
      <c r="B30" s="139"/>
      <c r="D30" s="139"/>
      <c r="F30" s="140"/>
    </row>
    <row r="31" spans="1:8" x14ac:dyDescent="0.2">
      <c r="A31" s="59"/>
      <c r="F31" s="140"/>
    </row>
    <row r="32" spans="1:8" ht="18" x14ac:dyDescent="0.2">
      <c r="A32" s="59"/>
      <c r="B32" s="141"/>
      <c r="C32" s="141"/>
      <c r="D32" s="141"/>
      <c r="E32" s="141"/>
      <c r="F32" s="140"/>
    </row>
    <row r="33" spans="1:6" x14ac:dyDescent="0.2">
      <c r="A33" s="59"/>
      <c r="F33" s="140"/>
    </row>
    <row r="34" spans="1:6" x14ac:dyDescent="0.2">
      <c r="A34" s="59"/>
      <c r="F34" s="140"/>
    </row>
  </sheetData>
  <mergeCells count="22">
    <mergeCell ref="A18:B18"/>
    <mergeCell ref="D18:E18"/>
    <mergeCell ref="A1:F1"/>
    <mergeCell ref="A2:F2"/>
    <mergeCell ref="A3:A4"/>
    <mergeCell ref="B3:B4"/>
    <mergeCell ref="C3:C4"/>
    <mergeCell ref="D3:D4"/>
    <mergeCell ref="E3:E4"/>
    <mergeCell ref="F3:F4"/>
    <mergeCell ref="G3:G4"/>
    <mergeCell ref="H3:H4"/>
    <mergeCell ref="A15:B15"/>
    <mergeCell ref="A17:B17"/>
    <mergeCell ref="D17:E17"/>
    <mergeCell ref="D22:E22"/>
    <mergeCell ref="A19:B19"/>
    <mergeCell ref="D19:E19"/>
    <mergeCell ref="A20:B20"/>
    <mergeCell ref="D20:E20"/>
    <mergeCell ref="A21:B21"/>
    <mergeCell ref="D21:E21"/>
  </mergeCells>
  <pageMargins left="0.52" right="0.19685039370078741" top="0.70866141732283472" bottom="0.19685039370078741" header="0.39370078740157483" footer="0.19685039370078741"/>
  <pageSetup paperSize="9" scale="70" orientation="portrait" verticalDpi="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37"/>
  <sheetViews>
    <sheetView zoomScale="80" zoomScaleNormal="80" zoomScaleSheetLayoutView="80" workbookViewId="0">
      <selection activeCell="P13" sqref="P13"/>
    </sheetView>
  </sheetViews>
  <sheetFormatPr defaultRowHeight="15" x14ac:dyDescent="0.25"/>
  <cols>
    <col min="1" max="1" width="8" style="1" customWidth="1"/>
    <col min="2" max="2" width="72.85546875" style="2" customWidth="1"/>
    <col min="3" max="3" width="0.140625" style="1" hidden="1" customWidth="1"/>
    <col min="4" max="4" width="22.5703125" style="1" hidden="1" customWidth="1"/>
    <col min="5" max="5" width="15.85546875" style="1" hidden="1" customWidth="1"/>
    <col min="6" max="6" width="22" style="1" hidden="1" customWidth="1"/>
    <col min="7" max="7" width="36.7109375" style="1" customWidth="1"/>
    <col min="8" max="8" width="21.42578125" style="1" customWidth="1"/>
    <col min="9" max="9" width="16.5703125" style="1" hidden="1" customWidth="1"/>
    <col min="10" max="10" width="27.140625" style="1" hidden="1" customWidth="1"/>
    <col min="11" max="11" width="16.42578125" style="1" customWidth="1"/>
    <col min="12" max="12" width="22.28515625" style="1" hidden="1" customWidth="1"/>
    <col min="13" max="13" width="18.5703125" style="1" customWidth="1"/>
    <col min="14" max="14" width="18.28515625" style="1" customWidth="1"/>
    <col min="15" max="15" width="26.28515625" style="1" customWidth="1"/>
    <col min="16" max="16" width="44.28515625" style="1" customWidth="1"/>
    <col min="17" max="17" width="16.42578125" style="1" customWidth="1"/>
    <col min="18" max="16384" width="9.140625" style="1"/>
  </cols>
  <sheetData>
    <row r="1" spans="1:16" ht="78.75" customHeight="1" x14ac:dyDescent="0.25">
      <c r="A1" s="1188" t="s">
        <v>281</v>
      </c>
      <c r="B1" s="1188"/>
      <c r="C1" s="1188"/>
      <c r="D1" s="1188"/>
      <c r="E1" s="1188"/>
      <c r="F1" s="1188"/>
      <c r="G1" s="1188"/>
      <c r="H1" s="1188"/>
      <c r="I1" s="1188"/>
      <c r="J1" s="1188"/>
      <c r="K1" s="1188"/>
      <c r="L1" s="1188"/>
      <c r="M1" s="1188"/>
      <c r="N1" s="1188"/>
      <c r="O1" s="1188"/>
      <c r="P1" s="1188"/>
    </row>
    <row r="2" spans="1:16" ht="34.5" customHeight="1" thickBot="1" x14ac:dyDescent="0.3">
      <c r="A2" s="1189" t="s">
        <v>135</v>
      </c>
      <c r="B2" s="1189"/>
      <c r="C2" s="1189"/>
      <c r="D2" s="1189"/>
      <c r="E2" s="1189"/>
      <c r="F2" s="1189"/>
      <c r="G2" s="1189"/>
      <c r="H2" s="1189"/>
      <c r="I2" s="1189"/>
      <c r="J2" s="1189"/>
      <c r="K2" s="1189"/>
      <c r="L2" s="1189"/>
      <c r="M2" s="1189"/>
      <c r="N2" s="1189"/>
      <c r="O2" s="1189"/>
      <c r="P2" s="1189"/>
    </row>
    <row r="3" spans="1:16" ht="34.5" customHeight="1" thickBot="1" x14ac:dyDescent="0.3">
      <c r="A3" s="1190" t="s">
        <v>28</v>
      </c>
      <c r="B3" s="1181" t="s">
        <v>0</v>
      </c>
      <c r="C3" s="1181" t="s">
        <v>1</v>
      </c>
      <c r="D3" s="1192" t="s">
        <v>2</v>
      </c>
      <c r="E3" s="748"/>
      <c r="F3" s="1190" t="s">
        <v>4</v>
      </c>
      <c r="G3" s="1181" t="s">
        <v>40</v>
      </c>
      <c r="H3" s="1181" t="s">
        <v>273</v>
      </c>
      <c r="I3" s="751"/>
      <c r="J3" s="1186" t="s">
        <v>266</v>
      </c>
      <c r="K3" s="1192"/>
      <c r="L3" s="1192"/>
      <c r="M3" s="1192"/>
      <c r="N3" s="1190"/>
      <c r="O3" s="1186" t="s">
        <v>282</v>
      </c>
      <c r="P3" s="1181" t="s">
        <v>47</v>
      </c>
    </row>
    <row r="4" spans="1:16" ht="36.75" customHeight="1" thickBot="1" x14ac:dyDescent="0.3">
      <c r="A4" s="1191"/>
      <c r="B4" s="1182"/>
      <c r="C4" s="1182"/>
      <c r="D4" s="1193"/>
      <c r="E4" s="750" t="s">
        <v>3</v>
      </c>
      <c r="F4" s="1191"/>
      <c r="G4" s="1182"/>
      <c r="H4" s="1182"/>
      <c r="I4" s="749"/>
      <c r="J4" s="5" t="s">
        <v>184</v>
      </c>
      <c r="K4" s="5" t="s">
        <v>130</v>
      </c>
      <c r="L4" s="5" t="s">
        <v>184</v>
      </c>
      <c r="M4" s="793" t="s">
        <v>141</v>
      </c>
      <c r="N4" s="5" t="s">
        <v>142</v>
      </c>
      <c r="O4" s="1187"/>
      <c r="P4" s="1182"/>
    </row>
    <row r="5" spans="1:16" ht="71.25" customHeight="1" x14ac:dyDescent="0.25">
      <c r="A5" s="3">
        <v>1</v>
      </c>
      <c r="B5" s="212" t="s">
        <v>31</v>
      </c>
      <c r="C5" s="213" t="s">
        <v>5</v>
      </c>
      <c r="D5" s="214">
        <f>153790091/1000</f>
        <v>153790.09099999999</v>
      </c>
      <c r="E5" s="215">
        <v>2001</v>
      </c>
      <c r="F5" s="215" t="s">
        <v>37</v>
      </c>
      <c r="G5" s="216" t="s">
        <v>6</v>
      </c>
      <c r="H5" s="218">
        <v>23001</v>
      </c>
      <c r="I5" s="221"/>
      <c r="J5" s="221"/>
      <c r="K5" s="221">
        <v>23001</v>
      </c>
      <c r="L5" s="221"/>
      <c r="M5" s="794">
        <v>116.79300000000001</v>
      </c>
      <c r="N5" s="218">
        <f>K5+M5</f>
        <v>23117.793000000001</v>
      </c>
      <c r="O5" s="217">
        <f>H5-K5</f>
        <v>0</v>
      </c>
      <c r="P5" s="226" t="s">
        <v>46</v>
      </c>
    </row>
    <row r="6" spans="1:16" ht="69.75" customHeight="1" thickBot="1" x14ac:dyDescent="0.3">
      <c r="A6" s="3">
        <v>2</v>
      </c>
      <c r="B6" s="146" t="s">
        <v>7</v>
      </c>
      <c r="C6" s="148" t="s">
        <v>8</v>
      </c>
      <c r="D6" s="149">
        <v>395048</v>
      </c>
      <c r="E6" s="150">
        <v>2010</v>
      </c>
      <c r="F6" s="150" t="s">
        <v>39</v>
      </c>
      <c r="G6" s="151" t="s">
        <v>9</v>
      </c>
      <c r="H6" s="162">
        <v>59009.616000000002</v>
      </c>
      <c r="I6" s="220"/>
      <c r="J6" s="220"/>
      <c r="K6" s="220">
        <v>0</v>
      </c>
      <c r="L6" s="220"/>
      <c r="M6" s="795">
        <v>2380</v>
      </c>
      <c r="N6" s="373">
        <f>K6+M6</f>
        <v>2380</v>
      </c>
      <c r="O6" s="152">
        <f>H6-K6</f>
        <v>59009.616000000002</v>
      </c>
      <c r="P6" s="227" t="s">
        <v>45</v>
      </c>
    </row>
    <row r="7" spans="1:16" ht="61.5" customHeight="1" thickBot="1" x14ac:dyDescent="0.3">
      <c r="A7" s="3">
        <v>3</v>
      </c>
      <c r="B7" s="146" t="s">
        <v>10</v>
      </c>
      <c r="C7" s="148" t="s">
        <v>11</v>
      </c>
      <c r="D7" s="149">
        <f>500000000/1000</f>
        <v>500000</v>
      </c>
      <c r="E7" s="150">
        <v>2012</v>
      </c>
      <c r="F7" s="150" t="s">
        <v>38</v>
      </c>
      <c r="G7" s="151" t="s">
        <v>12</v>
      </c>
      <c r="H7" s="162">
        <f>483610.935</f>
        <v>483610.935</v>
      </c>
      <c r="I7" s="220"/>
      <c r="J7" s="220"/>
      <c r="K7" s="220">
        <f>0</f>
        <v>0</v>
      </c>
      <c r="L7" s="220">
        <f>0</f>
        <v>0</v>
      </c>
      <c r="M7" s="796">
        <f>0</f>
        <v>0</v>
      </c>
      <c r="N7" s="371">
        <f>0</f>
        <v>0</v>
      </c>
      <c r="O7" s="152">
        <f>+H7</f>
        <v>483610.935</v>
      </c>
      <c r="P7" s="227" t="s">
        <v>43</v>
      </c>
    </row>
    <row r="8" spans="1:16" ht="64.5" customHeight="1" x14ac:dyDescent="0.25">
      <c r="A8" s="3">
        <v>4</v>
      </c>
      <c r="B8" s="146" t="s">
        <v>13</v>
      </c>
      <c r="C8" s="148" t="s">
        <v>14</v>
      </c>
      <c r="D8" s="149">
        <v>2250000</v>
      </c>
      <c r="E8" s="150">
        <v>2016</v>
      </c>
      <c r="F8" s="150" t="s">
        <v>37</v>
      </c>
      <c r="G8" s="151" t="s">
        <v>15</v>
      </c>
      <c r="H8" s="686">
        <v>2133293</v>
      </c>
      <c r="I8" s="220"/>
      <c r="J8" s="220"/>
      <c r="K8" s="754">
        <v>17</v>
      </c>
      <c r="L8" s="754"/>
      <c r="M8" s="797">
        <v>0</v>
      </c>
      <c r="N8" s="755">
        <v>0</v>
      </c>
      <c r="O8" s="152">
        <f>H8-K8</f>
        <v>2133276</v>
      </c>
      <c r="P8" s="227" t="s">
        <v>44</v>
      </c>
    </row>
    <row r="9" spans="1:16" ht="65.25" customHeight="1" thickBot="1" x14ac:dyDescent="0.3">
      <c r="A9" s="3">
        <v>5</v>
      </c>
      <c r="B9" s="146" t="s">
        <v>16</v>
      </c>
      <c r="C9" s="148" t="s">
        <v>14</v>
      </c>
      <c r="D9" s="149">
        <v>1070000</v>
      </c>
      <c r="E9" s="150">
        <v>2016</v>
      </c>
      <c r="F9" s="150" t="s">
        <v>37</v>
      </c>
      <c r="G9" s="151" t="s">
        <v>15</v>
      </c>
      <c r="H9" s="162">
        <v>1023712</v>
      </c>
      <c r="I9" s="220"/>
      <c r="J9" s="220"/>
      <c r="K9" s="754">
        <v>3183.473</v>
      </c>
      <c r="L9" s="754"/>
      <c r="M9" s="798">
        <v>0</v>
      </c>
      <c r="N9" s="755">
        <v>0</v>
      </c>
      <c r="O9" s="786">
        <f>H9-K9</f>
        <v>1020528.527</v>
      </c>
      <c r="P9" s="227" t="s">
        <v>109</v>
      </c>
    </row>
    <row r="10" spans="1:16" ht="73.5" customHeight="1" thickBot="1" x14ac:dyDescent="0.3">
      <c r="A10" s="3">
        <v>6</v>
      </c>
      <c r="B10" s="146" t="s">
        <v>17</v>
      </c>
      <c r="C10" s="148" t="s">
        <v>18</v>
      </c>
      <c r="D10" s="149">
        <f>530000000/1000</f>
        <v>530000</v>
      </c>
      <c r="E10" s="150">
        <v>2017</v>
      </c>
      <c r="F10" s="150" t="s">
        <v>36</v>
      </c>
      <c r="G10" s="151" t="s">
        <v>15</v>
      </c>
      <c r="H10" s="162">
        <v>121999</v>
      </c>
      <c r="I10" s="220"/>
      <c r="J10" s="220"/>
      <c r="K10" s="753">
        <v>0</v>
      </c>
      <c r="L10" s="152"/>
      <c r="M10" s="799">
        <v>0</v>
      </c>
      <c r="N10" s="218">
        <f>K10+M10</f>
        <v>0</v>
      </c>
      <c r="O10" s="786">
        <f>H10-K10</f>
        <v>121999</v>
      </c>
      <c r="P10" s="227" t="s">
        <v>45</v>
      </c>
    </row>
    <row r="11" spans="1:16" ht="69" customHeight="1" x14ac:dyDescent="0.25">
      <c r="A11" s="3">
        <v>7</v>
      </c>
      <c r="B11" s="146" t="s">
        <v>41</v>
      </c>
      <c r="C11" s="148" t="s">
        <v>11</v>
      </c>
      <c r="D11" s="149">
        <f>200000000/1000</f>
        <v>200000</v>
      </c>
      <c r="E11" s="150">
        <v>2012</v>
      </c>
      <c r="F11" s="150" t="s">
        <v>35</v>
      </c>
      <c r="G11" s="154" t="s">
        <v>24</v>
      </c>
      <c r="H11" s="162">
        <v>200000</v>
      </c>
      <c r="I11" s="220"/>
      <c r="J11" s="220"/>
      <c r="K11" s="220">
        <v>0</v>
      </c>
      <c r="L11" s="220"/>
      <c r="M11" s="794">
        <v>0</v>
      </c>
      <c r="N11" s="218">
        <f>K11+M11</f>
        <v>0</v>
      </c>
      <c r="O11" s="152">
        <f>H11-K11</f>
        <v>200000</v>
      </c>
      <c r="P11" s="227" t="s">
        <v>109</v>
      </c>
    </row>
    <row r="12" spans="1:16" ht="72.75" customHeight="1" thickBot="1" x14ac:dyDescent="0.3">
      <c r="A12" s="3">
        <v>8</v>
      </c>
      <c r="B12" s="688" t="s">
        <v>26</v>
      </c>
      <c r="C12" s="689" t="s">
        <v>27</v>
      </c>
      <c r="D12" s="690">
        <v>1165000</v>
      </c>
      <c r="E12" s="691">
        <v>2019</v>
      </c>
      <c r="F12" s="691" t="s">
        <v>48</v>
      </c>
      <c r="G12" s="692">
        <v>0.02</v>
      </c>
      <c r="H12" s="693">
        <v>953000</v>
      </c>
      <c r="I12" s="694"/>
      <c r="J12" s="694"/>
      <c r="K12" s="695">
        <v>0</v>
      </c>
      <c r="L12" s="696"/>
      <c r="M12" s="800">
        <v>0</v>
      </c>
      <c r="N12" s="697">
        <f>K12+M12</f>
        <v>0</v>
      </c>
      <c r="O12" s="698">
        <f>H12-K12</f>
        <v>953000</v>
      </c>
      <c r="P12" s="687" t="s">
        <v>42</v>
      </c>
    </row>
    <row r="13" spans="1:16" ht="37.5" customHeight="1" thickBot="1" x14ac:dyDescent="0.3">
      <c r="A13" s="801"/>
      <c r="B13" s="802" t="s">
        <v>81</v>
      </c>
      <c r="C13" s="803"/>
      <c r="D13" s="804">
        <f>SUM(D5:D12)</f>
        <v>6263838.091</v>
      </c>
      <c r="E13" s="805"/>
      <c r="F13" s="806"/>
      <c r="G13" s="807"/>
      <c r="H13" s="808">
        <f>SUM(H5:H12)</f>
        <v>4997625.551</v>
      </c>
      <c r="I13" s="809"/>
      <c r="J13" s="809"/>
      <c r="K13" s="810">
        <f>SUM(K5:K12)</f>
        <v>26201.472999999998</v>
      </c>
      <c r="L13" s="811"/>
      <c r="M13" s="812">
        <f>SUM(M5:M12)</f>
        <v>2496.7930000000001</v>
      </c>
      <c r="N13" s="811">
        <f>SUM(N5:N12)</f>
        <v>25497.793000000001</v>
      </c>
      <c r="O13" s="811">
        <f>SUM(O5:O12)</f>
        <v>4971424.0779999997</v>
      </c>
      <c r="P13" s="811"/>
    </row>
    <row r="14" spans="1:16" ht="18" x14ac:dyDescent="0.25">
      <c r="A14" s="6"/>
      <c r="B14" s="7"/>
      <c r="C14" s="8"/>
      <c r="D14" s="26"/>
      <c r="E14" s="9"/>
      <c r="F14" s="6"/>
      <c r="G14" s="6"/>
      <c r="H14" s="10"/>
      <c r="I14" s="10"/>
      <c r="J14" s="10"/>
      <c r="K14" s="10"/>
      <c r="L14" s="10"/>
    </row>
    <row r="15" spans="1:16" ht="18" x14ac:dyDescent="0.25">
      <c r="A15" s="6"/>
      <c r="B15" s="7"/>
      <c r="C15" s="8"/>
      <c r="D15" s="26"/>
      <c r="E15" s="9"/>
      <c r="F15" s="6"/>
      <c r="G15" s="6"/>
      <c r="H15" s="792">
        <f>+H5+H6+H7+H8+H9+H10+H11+H12</f>
        <v>4997625.551</v>
      </c>
      <c r="I15" s="10"/>
      <c r="J15" s="10"/>
      <c r="K15" s="792">
        <f>+K5+K6+K7+K8+K9+K10+K11+K12</f>
        <v>26201.472999999998</v>
      </c>
      <c r="L15" s="10"/>
      <c r="M15" s="792">
        <f>+M5+M6+M7+M8+M9+M10+M11+M12</f>
        <v>2496.7930000000001</v>
      </c>
      <c r="N15" s="792">
        <f>N5+N6+N7+N8+N9+N10+N11+N12</f>
        <v>25497.793000000001</v>
      </c>
      <c r="O15" s="792">
        <f>+O5+O6+O7+O8+O9+O10+O11+O12</f>
        <v>4971424.0779999997</v>
      </c>
      <c r="P15" s="813"/>
    </row>
    <row r="16" spans="1:16" ht="18" x14ac:dyDescent="0.25">
      <c r="A16" s="6"/>
      <c r="B16" s="7"/>
      <c r="C16" s="8"/>
      <c r="D16" s="26"/>
      <c r="E16" s="9"/>
      <c r="F16" s="6"/>
      <c r="G16" s="6"/>
      <c r="H16" s="10"/>
      <c r="I16" s="10"/>
      <c r="J16" s="10"/>
      <c r="K16" s="10"/>
      <c r="L16" s="10"/>
    </row>
    <row r="17" spans="1:17" ht="18" x14ac:dyDescent="0.25">
      <c r="A17" s="6"/>
      <c r="B17" s="7"/>
      <c r="C17" s="8"/>
      <c r="D17" s="26"/>
      <c r="E17" s="9"/>
      <c r="F17" s="6"/>
      <c r="G17" s="6"/>
      <c r="H17" s="10"/>
      <c r="I17" s="10"/>
      <c r="J17" s="10"/>
      <c r="K17" s="10"/>
      <c r="L17" s="10"/>
    </row>
    <row r="18" spans="1:17" ht="20.25" x14ac:dyDescent="0.3">
      <c r="A18" s="6"/>
      <c r="B18" s="7"/>
      <c r="C18" s="752" t="s">
        <v>29</v>
      </c>
      <c r="D18" s="174" t="e">
        <f>+#REF!</f>
        <v>#REF!</v>
      </c>
      <c r="E18" s="175" t="s">
        <v>123</v>
      </c>
      <c r="F18" s="172"/>
      <c r="G18" s="172"/>
      <c r="H18" s="10"/>
      <c r="I18" s="10"/>
      <c r="J18" s="10"/>
      <c r="K18" s="10">
        <f>553808.23+1200</f>
        <v>555008.23</v>
      </c>
      <c r="L18" s="10"/>
      <c r="M18" s="223"/>
      <c r="N18" s="176"/>
      <c r="O18" s="27"/>
      <c r="P18" s="222"/>
    </row>
    <row r="19" spans="1:17" ht="18.75" x14ac:dyDescent="0.3">
      <c r="A19" s="6"/>
      <c r="B19" s="7"/>
      <c r="C19" s="176"/>
      <c r="D19" s="175" t="s">
        <v>117</v>
      </c>
      <c r="E19" s="177"/>
      <c r="F19" s="178"/>
      <c r="G19" s="172"/>
      <c r="H19" s="179"/>
      <c r="I19" s="179"/>
      <c r="J19" s="179"/>
      <c r="K19" s="180"/>
      <c r="L19" s="180"/>
      <c r="M19" s="181"/>
      <c r="N19" s="182"/>
    </row>
    <row r="20" spans="1:17" ht="18" x14ac:dyDescent="0.25">
      <c r="A20" s="6"/>
      <c r="B20" s="7"/>
      <c r="C20" s="6"/>
      <c r="D20" s="175"/>
      <c r="E20" s="11"/>
      <c r="F20" s="12"/>
      <c r="G20" s="6"/>
      <c r="H20" s="6"/>
      <c r="I20" s="6"/>
      <c r="J20" s="6"/>
      <c r="K20" s="6"/>
      <c r="L20" s="6"/>
      <c r="M20" s="25"/>
      <c r="N20" s="13"/>
      <c r="P20" s="225"/>
    </row>
    <row r="21" spans="1:17" ht="27" x14ac:dyDescent="0.25">
      <c r="A21" s="1188" t="s">
        <v>177</v>
      </c>
      <c r="B21" s="1188"/>
      <c r="C21" s="1188"/>
      <c r="D21" s="1188"/>
      <c r="E21" s="1188"/>
      <c r="F21" s="1188"/>
      <c r="G21" s="1188"/>
      <c r="H21" s="1188"/>
      <c r="I21" s="1188"/>
      <c r="J21" s="1188"/>
      <c r="K21" s="1188"/>
      <c r="L21" s="1188"/>
      <c r="M21" s="1188"/>
      <c r="N21" s="1188"/>
      <c r="O21" s="1188"/>
      <c r="P21" s="1188"/>
    </row>
    <row r="22" spans="1:17" ht="16.5" thickBot="1" x14ac:dyDescent="0.3">
      <c r="A22" s="1189" t="s">
        <v>135</v>
      </c>
      <c r="B22" s="1189"/>
      <c r="C22" s="1189"/>
      <c r="D22" s="1189"/>
      <c r="E22" s="1189"/>
      <c r="F22" s="1189"/>
      <c r="G22" s="1189"/>
      <c r="H22" s="1189"/>
      <c r="I22" s="1189"/>
      <c r="J22" s="1189"/>
      <c r="K22" s="1189"/>
      <c r="L22" s="1189"/>
      <c r="M22" s="1189"/>
      <c r="N22" s="1189"/>
      <c r="O22" s="1189"/>
      <c r="P22" s="1189"/>
    </row>
    <row r="23" spans="1:17" ht="41.25" customHeight="1" thickBot="1" x14ac:dyDescent="0.3">
      <c r="A23" s="1190" t="s">
        <v>28</v>
      </c>
      <c r="B23" s="1181" t="s">
        <v>0</v>
      </c>
      <c r="C23" s="1181" t="s">
        <v>1</v>
      </c>
      <c r="D23" s="1192" t="s">
        <v>2</v>
      </c>
      <c r="E23" s="748"/>
      <c r="F23" s="1190" t="s">
        <v>4</v>
      </c>
      <c r="G23" s="1181" t="s">
        <v>40</v>
      </c>
      <c r="H23" s="1181" t="s">
        <v>161</v>
      </c>
      <c r="I23" s="751" t="s">
        <v>176</v>
      </c>
      <c r="J23" s="751"/>
      <c r="K23" s="1183" t="s">
        <v>160</v>
      </c>
      <c r="L23" s="1184"/>
      <c r="M23" s="1184"/>
      <c r="N23" s="1185"/>
      <c r="O23" s="1186" t="s">
        <v>182</v>
      </c>
      <c r="P23" s="1181" t="s">
        <v>47</v>
      </c>
    </row>
    <row r="24" spans="1:17" ht="32.25" thickBot="1" x14ac:dyDescent="0.3">
      <c r="A24" s="1191"/>
      <c r="B24" s="1182"/>
      <c r="C24" s="1182"/>
      <c r="D24" s="1193"/>
      <c r="E24" s="750" t="s">
        <v>3</v>
      </c>
      <c r="F24" s="1191"/>
      <c r="G24" s="1182"/>
      <c r="H24" s="1182"/>
      <c r="I24" s="749"/>
      <c r="J24" s="749"/>
      <c r="K24" s="5" t="s">
        <v>130</v>
      </c>
      <c r="L24" s="5"/>
      <c r="M24" s="5" t="s">
        <v>141</v>
      </c>
      <c r="N24" s="5" t="s">
        <v>142</v>
      </c>
      <c r="O24" s="1187"/>
      <c r="P24" s="1182"/>
    </row>
    <row r="25" spans="1:17" ht="72.75" customHeight="1" x14ac:dyDescent="0.25">
      <c r="A25" s="3">
        <v>1</v>
      </c>
      <c r="B25" s="212" t="s">
        <v>31</v>
      </c>
      <c r="C25" s="213" t="s">
        <v>5</v>
      </c>
      <c r="D25" s="214">
        <f>153790091/1000</f>
        <v>153790.09099999999</v>
      </c>
      <c r="E25" s="215">
        <v>2001</v>
      </c>
      <c r="F25" s="215" t="s">
        <v>37</v>
      </c>
      <c r="G25" s="216" t="s">
        <v>6</v>
      </c>
      <c r="H25" s="218">
        <v>153790.09099999999</v>
      </c>
      <c r="I25" s="221"/>
      <c r="J25" s="221"/>
      <c r="K25" s="368">
        <v>0</v>
      </c>
      <c r="L25" s="368"/>
      <c r="M25" s="368">
        <v>8766.0360000000001</v>
      </c>
      <c r="N25" s="218">
        <v>8766.0360000000001</v>
      </c>
      <c r="O25" s="217">
        <f>H25+I25-K25</f>
        <v>153790.09099999999</v>
      </c>
      <c r="P25" s="226" t="s">
        <v>46</v>
      </c>
    </row>
    <row r="26" spans="1:17" ht="59.25" customHeight="1" x14ac:dyDescent="0.25">
      <c r="A26" s="3">
        <v>2</v>
      </c>
      <c r="B26" s="146" t="s">
        <v>7</v>
      </c>
      <c r="C26" s="148" t="s">
        <v>8</v>
      </c>
      <c r="D26" s="149">
        <v>395048</v>
      </c>
      <c r="E26" s="150">
        <v>2010</v>
      </c>
      <c r="F26" s="150" t="s">
        <v>39</v>
      </c>
      <c r="G26" s="151" t="s">
        <v>9</v>
      </c>
      <c r="H26" s="162">
        <v>59009.616000000002</v>
      </c>
      <c r="I26" s="220"/>
      <c r="J26" s="220"/>
      <c r="K26" s="162">
        <v>0</v>
      </c>
      <c r="L26" s="162"/>
      <c r="M26" s="162">
        <v>2373.2829999999999</v>
      </c>
      <c r="N26" s="218">
        <v>2373.2829999999999</v>
      </c>
      <c r="O26" s="217">
        <f t="shared" ref="O26:O33" si="0">H26+I26-K26</f>
        <v>59009.616000000002</v>
      </c>
      <c r="P26" s="227" t="s">
        <v>42</v>
      </c>
    </row>
    <row r="27" spans="1:17" ht="60" customHeight="1" x14ac:dyDescent="0.25">
      <c r="A27" s="3">
        <v>3</v>
      </c>
      <c r="B27" s="146" t="s">
        <v>10</v>
      </c>
      <c r="C27" s="148" t="s">
        <v>11</v>
      </c>
      <c r="D27" s="149">
        <f>500000000/1000</f>
        <v>500000</v>
      </c>
      <c r="E27" s="150">
        <v>2012</v>
      </c>
      <c r="F27" s="150" t="s">
        <v>38</v>
      </c>
      <c r="G27" s="151" t="s">
        <v>12</v>
      </c>
      <c r="H27" s="434">
        <v>483610.93513999996</v>
      </c>
      <c r="I27" s="162"/>
      <c r="J27" s="162"/>
      <c r="K27" s="434">
        <v>483610.93513999996</v>
      </c>
      <c r="L27" s="162"/>
      <c r="M27" s="435">
        <v>324604.11655999999</v>
      </c>
      <c r="N27" s="218">
        <f>+K27+M27</f>
        <v>808215.05169999995</v>
      </c>
      <c r="O27" s="436">
        <f t="shared" si="0"/>
        <v>0</v>
      </c>
      <c r="P27" s="227" t="s">
        <v>43</v>
      </c>
      <c r="Q27" s="225"/>
    </row>
    <row r="28" spans="1:17" ht="45" customHeight="1" x14ac:dyDescent="0.25">
      <c r="A28" s="3">
        <v>4</v>
      </c>
      <c r="B28" s="146" t="s">
        <v>13</v>
      </c>
      <c r="C28" s="148" t="s">
        <v>14</v>
      </c>
      <c r="D28" s="149">
        <v>2250000</v>
      </c>
      <c r="E28" s="150">
        <v>2016</v>
      </c>
      <c r="F28" s="150" t="s">
        <v>37</v>
      </c>
      <c r="G28" s="151" t="s">
        <v>15</v>
      </c>
      <c r="H28" s="162">
        <v>2133859.8566200002</v>
      </c>
      <c r="I28" s="220"/>
      <c r="J28" s="220"/>
      <c r="K28" s="162">
        <v>0</v>
      </c>
      <c r="L28" s="162"/>
      <c r="M28" s="162">
        <v>0</v>
      </c>
      <c r="N28" s="218">
        <v>0</v>
      </c>
      <c r="O28" s="217">
        <f t="shared" si="0"/>
        <v>2133859.8566200002</v>
      </c>
      <c r="P28" s="227" t="s">
        <v>44</v>
      </c>
    </row>
    <row r="29" spans="1:17" ht="47.25" customHeight="1" x14ac:dyDescent="0.25">
      <c r="A29" s="3">
        <v>5</v>
      </c>
      <c r="B29" s="146" t="s">
        <v>16</v>
      </c>
      <c r="C29" s="148" t="s">
        <v>14</v>
      </c>
      <c r="D29" s="149">
        <v>1070000</v>
      </c>
      <c r="E29" s="150">
        <v>2016</v>
      </c>
      <c r="F29" s="150" t="s">
        <v>37</v>
      </c>
      <c r="G29" s="151" t="s">
        <v>15</v>
      </c>
      <c r="H29" s="162">
        <v>1064503.2390000001</v>
      </c>
      <c r="I29" s="220"/>
      <c r="J29" s="220"/>
      <c r="K29" s="162">
        <v>440.95499999999998</v>
      </c>
      <c r="L29" s="162"/>
      <c r="M29" s="162">
        <v>0</v>
      </c>
      <c r="N29" s="218">
        <v>440.95499999999998</v>
      </c>
      <c r="O29" s="217">
        <f t="shared" si="0"/>
        <v>1064062.284</v>
      </c>
      <c r="P29" s="227" t="s">
        <v>109</v>
      </c>
    </row>
    <row r="30" spans="1:17" ht="46.5" customHeight="1" x14ac:dyDescent="0.25">
      <c r="A30" s="3">
        <v>6</v>
      </c>
      <c r="B30" s="146" t="s">
        <v>17</v>
      </c>
      <c r="C30" s="148" t="s">
        <v>18</v>
      </c>
      <c r="D30" s="149">
        <f>530000000/1000</f>
        <v>530000</v>
      </c>
      <c r="E30" s="150">
        <v>2017</v>
      </c>
      <c r="F30" s="150" t="s">
        <v>36</v>
      </c>
      <c r="G30" s="151" t="s">
        <v>15</v>
      </c>
      <c r="H30" s="162">
        <v>251000</v>
      </c>
      <c r="I30" s="220"/>
      <c r="J30" s="220"/>
      <c r="K30" s="162">
        <v>39000.000199999995</v>
      </c>
      <c r="L30" s="162"/>
      <c r="M30" s="431">
        <v>5982.4316900000003</v>
      </c>
      <c r="N30" s="218">
        <v>44982.431889999993</v>
      </c>
      <c r="O30" s="217">
        <f t="shared" si="0"/>
        <v>211999.99979999999</v>
      </c>
      <c r="P30" s="227" t="s">
        <v>45</v>
      </c>
    </row>
    <row r="31" spans="1:17" ht="42.75" customHeight="1" x14ac:dyDescent="0.25">
      <c r="A31" s="3">
        <v>7</v>
      </c>
      <c r="B31" s="146" t="s">
        <v>41</v>
      </c>
      <c r="C31" s="148" t="s">
        <v>11</v>
      </c>
      <c r="D31" s="149">
        <f>200000000/1000</f>
        <v>200000</v>
      </c>
      <c r="E31" s="150">
        <v>2012</v>
      </c>
      <c r="F31" s="150" t="s">
        <v>35</v>
      </c>
      <c r="G31" s="154" t="s">
        <v>24</v>
      </c>
      <c r="H31" s="434">
        <v>200000</v>
      </c>
      <c r="I31" s="162"/>
      <c r="J31" s="162"/>
      <c r="K31" s="434">
        <v>200000</v>
      </c>
      <c r="L31" s="162"/>
      <c r="M31" s="162">
        <v>0</v>
      </c>
      <c r="N31" s="218">
        <f>+K31+M31</f>
        <v>200000</v>
      </c>
      <c r="O31" s="436">
        <f t="shared" si="0"/>
        <v>0</v>
      </c>
      <c r="P31" s="227" t="s">
        <v>109</v>
      </c>
    </row>
    <row r="32" spans="1:17" ht="43.5" customHeight="1" x14ac:dyDescent="0.25">
      <c r="A32" s="3">
        <v>8</v>
      </c>
      <c r="B32" s="424" t="s">
        <v>26</v>
      </c>
      <c r="C32" s="425" t="s">
        <v>27</v>
      </c>
      <c r="D32" s="426">
        <v>1165000</v>
      </c>
      <c r="E32" s="427">
        <v>2019</v>
      </c>
      <c r="F32" s="427" t="s">
        <v>48</v>
      </c>
      <c r="G32" s="428">
        <v>0.02</v>
      </c>
      <c r="H32" s="429">
        <v>1059000</v>
      </c>
      <c r="I32" s="430"/>
      <c r="J32" s="430"/>
      <c r="K32" s="429"/>
      <c r="L32" s="429"/>
      <c r="M32" s="162">
        <v>0</v>
      </c>
      <c r="N32" s="162">
        <v>0</v>
      </c>
      <c r="O32" s="217">
        <f t="shared" si="0"/>
        <v>1059000</v>
      </c>
      <c r="P32" s="227" t="s">
        <v>45</v>
      </c>
    </row>
    <row r="33" spans="1:16" ht="43.5" customHeight="1" thickBot="1" x14ac:dyDescent="0.3">
      <c r="A33" s="422">
        <v>9</v>
      </c>
      <c r="B33" s="423" t="s">
        <v>183</v>
      </c>
      <c r="C33" s="417"/>
      <c r="D33" s="418"/>
      <c r="E33" s="156"/>
      <c r="F33" s="419"/>
      <c r="G33" s="420">
        <v>0.02</v>
      </c>
      <c r="H33" s="367"/>
      <c r="I33" s="367">
        <v>1000000</v>
      </c>
      <c r="J33" s="367"/>
      <c r="K33" s="432"/>
      <c r="L33" s="432"/>
      <c r="M33" s="332">
        <v>0</v>
      </c>
      <c r="N33" s="162">
        <v>0</v>
      </c>
      <c r="O33" s="217">
        <f t="shared" si="0"/>
        <v>1000000</v>
      </c>
      <c r="P33" s="421"/>
    </row>
    <row r="34" spans="1:16" ht="36.75" customHeight="1" thickBot="1" x14ac:dyDescent="0.3">
      <c r="A34" s="18"/>
      <c r="B34" s="147" t="s">
        <v>81</v>
      </c>
      <c r="C34" s="22"/>
      <c r="D34" s="224">
        <f>SUM(D25:D32)</f>
        <v>6263838.091</v>
      </c>
      <c r="E34" s="21"/>
      <c r="F34" s="20"/>
      <c r="G34" s="19"/>
      <c r="H34" s="16">
        <v>5404773.7377599999</v>
      </c>
      <c r="I34" s="416">
        <f>SUM(I33)</f>
        <v>1000000</v>
      </c>
      <c r="J34" s="416"/>
      <c r="K34" s="28">
        <v>39440.955199999997</v>
      </c>
      <c r="L34" s="433"/>
      <c r="M34" s="29">
        <v>17122.07069</v>
      </c>
      <c r="N34" s="17">
        <f>SUM(N25:N32)</f>
        <v>1064777.7575900001</v>
      </c>
      <c r="O34" s="17">
        <f>SUM(O25:O33)</f>
        <v>5681721.8474199995</v>
      </c>
      <c r="P34" s="17"/>
    </row>
    <row r="37" spans="1:16" x14ac:dyDescent="0.25">
      <c r="O37" s="225">
        <f>+O13-O34</f>
        <v>-710297.76941999979</v>
      </c>
    </row>
  </sheetData>
  <mergeCells count="24">
    <mergeCell ref="A1:P1"/>
    <mergeCell ref="A2:P2"/>
    <mergeCell ref="A3:A4"/>
    <mergeCell ref="B3:B4"/>
    <mergeCell ref="C3:C4"/>
    <mergeCell ref="D3:D4"/>
    <mergeCell ref="F3:F4"/>
    <mergeCell ref="G3:G4"/>
    <mergeCell ref="H3:H4"/>
    <mergeCell ref="J3:N3"/>
    <mergeCell ref="H23:H24"/>
    <mergeCell ref="K23:N23"/>
    <mergeCell ref="O23:O24"/>
    <mergeCell ref="P23:P24"/>
    <mergeCell ref="O3:O4"/>
    <mergeCell ref="P3:P4"/>
    <mergeCell ref="A21:P21"/>
    <mergeCell ref="A22:P22"/>
    <mergeCell ref="A23:A24"/>
    <mergeCell ref="B23:B24"/>
    <mergeCell ref="C23:C24"/>
    <mergeCell ref="D23:D24"/>
    <mergeCell ref="F23:F24"/>
    <mergeCell ref="G23:G24"/>
  </mergeCells>
  <pageMargins left="0.56999999999999995" right="0.19685039370078741" top="0.93" bottom="0.19685039370078741" header="0.19685039370078741" footer="0.19685039370078741"/>
  <pageSetup paperSize="9" scale="53" orientation="landscape" verticalDpi="0" r:id="rId1"/>
  <rowBreaks count="1" manualBreakCount="1">
    <brk id="13" max="15" man="1"/>
  </rowBreaks>
  <colBreaks count="1" manualBreakCount="1">
    <brk id="16"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2"/>
  <sheetViews>
    <sheetView zoomScale="60" zoomScaleNormal="60" workbookViewId="0">
      <selection activeCell="N20" sqref="N20"/>
    </sheetView>
  </sheetViews>
  <sheetFormatPr defaultRowHeight="14.25" x14ac:dyDescent="0.2"/>
  <cols>
    <col min="1" max="2" width="5.7109375" style="59" customWidth="1"/>
    <col min="3" max="3" width="62.42578125" style="59" customWidth="1"/>
    <col min="4" max="4" width="22.5703125" style="59" customWidth="1"/>
    <col min="5" max="5" width="26.7109375" style="59" customWidth="1"/>
    <col min="6" max="6" width="30.42578125" style="59" customWidth="1"/>
    <col min="7" max="7" width="26.140625" style="59" customWidth="1"/>
    <col min="8" max="8" width="24.7109375" style="59" customWidth="1"/>
    <col min="9" max="9" width="29.140625" style="59" customWidth="1"/>
    <col min="10" max="10" width="22.5703125" style="59" customWidth="1"/>
    <col min="11" max="11" width="30" style="59" customWidth="1"/>
    <col min="12" max="12" width="27.5703125" style="59" customWidth="1"/>
    <col min="13" max="13" width="26.28515625" style="59" customWidth="1"/>
    <col min="14" max="14" width="18.7109375" style="59" bestFit="1" customWidth="1"/>
    <col min="15" max="15" width="16.28515625" style="59" bestFit="1" customWidth="1"/>
    <col min="16" max="16384" width="9.140625" style="59"/>
  </cols>
  <sheetData>
    <row r="1" spans="2:17" ht="92.25" customHeight="1" thickBot="1" x14ac:dyDescent="0.4">
      <c r="B1" s="1197" t="s">
        <v>252</v>
      </c>
      <c r="C1" s="1197"/>
      <c r="D1" s="1197"/>
      <c r="E1" s="1197"/>
      <c r="F1" s="1197"/>
      <c r="G1" s="1197"/>
      <c r="H1" s="1197"/>
      <c r="I1" s="1197"/>
      <c r="J1" s="1197"/>
      <c r="K1" s="1197"/>
      <c r="L1" s="1197"/>
    </row>
    <row r="2" spans="2:17" ht="102.75" customHeight="1" thickBot="1" x14ac:dyDescent="0.25">
      <c r="B2" s="1198" t="s">
        <v>69</v>
      </c>
      <c r="C2" s="1200" t="s">
        <v>70</v>
      </c>
      <c r="D2" s="1202" t="s">
        <v>71</v>
      </c>
      <c r="E2" s="1203"/>
      <c r="F2" s="1204"/>
      <c r="G2" s="1205" t="s">
        <v>251</v>
      </c>
      <c r="H2" s="1206"/>
      <c r="I2" s="333" t="s">
        <v>171</v>
      </c>
      <c r="J2" s="759" t="s">
        <v>215</v>
      </c>
      <c r="K2" s="334" t="s">
        <v>253</v>
      </c>
      <c r="L2" s="756" t="s">
        <v>254</v>
      </c>
    </row>
    <row r="3" spans="2:17" ht="63" customHeight="1" thickBot="1" x14ac:dyDescent="0.25">
      <c r="B3" s="1199"/>
      <c r="C3" s="1201"/>
      <c r="D3" s="757" t="s">
        <v>72</v>
      </c>
      <c r="E3" s="61" t="s">
        <v>73</v>
      </c>
      <c r="F3" s="758" t="s">
        <v>172</v>
      </c>
      <c r="G3" s="757" t="s">
        <v>72</v>
      </c>
      <c r="H3" s="61" t="s">
        <v>74</v>
      </c>
      <c r="I3" s="61" t="s">
        <v>74</v>
      </c>
      <c r="J3" s="61" t="s">
        <v>74</v>
      </c>
      <c r="K3" s="757" t="s">
        <v>74</v>
      </c>
      <c r="L3" s="61" t="s">
        <v>74</v>
      </c>
    </row>
    <row r="4" spans="2:17" ht="39.75" customHeight="1" x14ac:dyDescent="0.2">
      <c r="B4" s="62">
        <v>1</v>
      </c>
      <c r="C4" s="63" t="s">
        <v>75</v>
      </c>
      <c r="D4" s="64">
        <v>0</v>
      </c>
      <c r="E4" s="65">
        <v>4412.71</v>
      </c>
      <c r="F4" s="66">
        <f>E4</f>
        <v>4412.71</v>
      </c>
      <c r="G4" s="304">
        <v>0</v>
      </c>
      <c r="H4" s="305">
        <v>0</v>
      </c>
      <c r="I4" s="65">
        <f>E4</f>
        <v>4412.71</v>
      </c>
      <c r="J4" s="335">
        <v>0</v>
      </c>
      <c r="K4" s="336">
        <f>F4-H4</f>
        <v>4412.71</v>
      </c>
      <c r="L4" s="337">
        <v>0</v>
      </c>
      <c r="M4" s="338"/>
    </row>
    <row r="5" spans="2:17" ht="53.25" customHeight="1" x14ac:dyDescent="0.2">
      <c r="B5" s="67">
        <v>2</v>
      </c>
      <c r="C5" s="68" t="s">
        <v>76</v>
      </c>
      <c r="D5" s="69">
        <v>0</v>
      </c>
      <c r="E5" s="70">
        <v>3619022.98</v>
      </c>
      <c r="F5" s="66">
        <f>E5</f>
        <v>3619022.98</v>
      </c>
      <c r="G5" s="306">
        <v>0</v>
      </c>
      <c r="H5" s="71">
        <v>2041424</v>
      </c>
      <c r="I5" s="72">
        <f>E5-H5</f>
        <v>1577598.98</v>
      </c>
      <c r="J5" s="335">
        <v>0</v>
      </c>
      <c r="K5" s="339">
        <f>F5-H5</f>
        <v>1577598.98</v>
      </c>
      <c r="L5" s="337">
        <v>0</v>
      </c>
      <c r="M5" s="338"/>
    </row>
    <row r="6" spans="2:17" ht="47.25" customHeight="1" x14ac:dyDescent="0.2">
      <c r="B6" s="73">
        <v>3</v>
      </c>
      <c r="C6" s="74" t="s">
        <v>77</v>
      </c>
      <c r="D6" s="75">
        <v>87000000</v>
      </c>
      <c r="E6" s="76">
        <v>0</v>
      </c>
      <c r="F6" s="77">
        <f>D6*E16</f>
        <v>1415933699.9999998</v>
      </c>
      <c r="G6" s="307">
        <v>0</v>
      </c>
      <c r="H6" s="308">
        <v>0</v>
      </c>
      <c r="I6" s="78">
        <f>D6*E16</f>
        <v>1415933699.9999998</v>
      </c>
      <c r="J6" s="778">
        <v>0</v>
      </c>
      <c r="K6" s="340">
        <f>D6*G16</f>
        <v>1376409600</v>
      </c>
      <c r="L6" s="78">
        <f>I6-K6</f>
        <v>39524099.999999762</v>
      </c>
      <c r="M6" s="341"/>
    </row>
    <row r="7" spans="2:17" ht="51" customHeight="1" x14ac:dyDescent="0.2">
      <c r="B7" s="73">
        <v>4</v>
      </c>
      <c r="C7" s="74" t="s">
        <v>78</v>
      </c>
      <c r="D7" s="75">
        <v>1775628</v>
      </c>
      <c r="E7" s="76">
        <v>0</v>
      </c>
      <c r="F7" s="81">
        <f>D7*E14</f>
        <v>20064596.400000002</v>
      </c>
      <c r="G7" s="307">
        <v>0</v>
      </c>
      <c r="H7" s="308">
        <v>0</v>
      </c>
      <c r="I7" s="78">
        <f>D7*E14</f>
        <v>20064596.400000002</v>
      </c>
      <c r="J7" s="778">
        <v>0</v>
      </c>
      <c r="K7" s="340">
        <f>D7*G14</f>
        <v>20054120.194800001</v>
      </c>
      <c r="L7" s="78">
        <f>I7-K7</f>
        <v>10476.205200001597</v>
      </c>
      <c r="M7" s="341"/>
    </row>
    <row r="8" spans="2:17" ht="60" customHeight="1" x14ac:dyDescent="0.2">
      <c r="B8" s="73">
        <v>5</v>
      </c>
      <c r="C8" s="74" t="s">
        <v>79</v>
      </c>
      <c r="D8" s="75">
        <v>160136</v>
      </c>
      <c r="E8" s="76">
        <v>0</v>
      </c>
      <c r="F8" s="81">
        <f>D8*E14</f>
        <v>1809536.8</v>
      </c>
      <c r="G8" s="307">
        <v>0</v>
      </c>
      <c r="H8" s="82">
        <v>239409</v>
      </c>
      <c r="I8" s="78">
        <f>(D8*E14)-H8</f>
        <v>1570127.8</v>
      </c>
      <c r="J8" s="778">
        <v>0</v>
      </c>
      <c r="K8" s="340">
        <f>(D8*G14)-H8</f>
        <v>1569182.9976000001</v>
      </c>
      <c r="L8" s="78">
        <f>I8-K8</f>
        <v>944.80239999992773</v>
      </c>
      <c r="M8" s="341"/>
      <c r="N8" s="137"/>
      <c r="O8" s="80"/>
    </row>
    <row r="9" spans="2:17" ht="37.5" customHeight="1" thickBot="1" x14ac:dyDescent="0.25">
      <c r="B9" s="309">
        <v>6</v>
      </c>
      <c r="C9" s="310" t="s">
        <v>158</v>
      </c>
      <c r="D9" s="311">
        <v>0</v>
      </c>
      <c r="E9" s="79">
        <v>33291301.059999999</v>
      </c>
      <c r="F9" s="312">
        <f>E9</f>
        <v>33291301.059999999</v>
      </c>
      <c r="G9" s="313">
        <v>0</v>
      </c>
      <c r="H9" s="71">
        <f>16395000+2200000+2200000</f>
        <v>20795000</v>
      </c>
      <c r="I9" s="79">
        <f>+F9-H9</f>
        <v>12496301.059999999</v>
      </c>
      <c r="J9" s="779">
        <v>5907000</v>
      </c>
      <c r="K9" s="339">
        <f>+F9-H9-J9</f>
        <v>6589301.0599999987</v>
      </c>
      <c r="L9" s="337">
        <f>+I9-K9</f>
        <v>5907000</v>
      </c>
      <c r="M9" s="342">
        <f>+F9-H9</f>
        <v>12496301.059999999</v>
      </c>
      <c r="N9" s="83"/>
    </row>
    <row r="10" spans="2:17" ht="54.75" customHeight="1" thickBot="1" x14ac:dyDescent="0.25">
      <c r="B10" s="84">
        <v>7</v>
      </c>
      <c r="C10" s="85" t="s">
        <v>80</v>
      </c>
      <c r="D10" s="86">
        <v>900000</v>
      </c>
      <c r="E10" s="87">
        <v>0</v>
      </c>
      <c r="F10" s="88">
        <v>0</v>
      </c>
      <c r="G10" s="89">
        <v>900000</v>
      </c>
      <c r="H10" s="305">
        <v>0</v>
      </c>
      <c r="I10" s="64">
        <v>0</v>
      </c>
      <c r="J10" s="780">
        <v>0</v>
      </c>
      <c r="K10" s="64">
        <v>0</v>
      </c>
      <c r="L10" s="337">
        <v>0</v>
      </c>
      <c r="M10" s="343"/>
    </row>
    <row r="11" spans="2:17" ht="45" customHeight="1" thickBot="1" x14ac:dyDescent="0.25">
      <c r="B11" s="1207" t="s">
        <v>81</v>
      </c>
      <c r="C11" s="1208"/>
      <c r="D11" s="90">
        <f t="shared" ref="D11:L11" si="0">SUM(D4:D10)</f>
        <v>89835764</v>
      </c>
      <c r="E11" s="91">
        <f t="shared" si="0"/>
        <v>36914736.75</v>
      </c>
      <c r="F11" s="92">
        <f t="shared" si="0"/>
        <v>1474722569.9499998</v>
      </c>
      <c r="G11" s="344">
        <f t="shared" si="0"/>
        <v>900000</v>
      </c>
      <c r="H11" s="345">
        <f t="shared" si="0"/>
        <v>23075833</v>
      </c>
      <c r="I11" s="346">
        <f t="shared" si="0"/>
        <v>1451646736.9499998</v>
      </c>
      <c r="J11" s="347">
        <f t="shared" si="0"/>
        <v>5907000</v>
      </c>
      <c r="K11" s="348">
        <f t="shared" si="0"/>
        <v>1406204215.9424</v>
      </c>
      <c r="L11" s="349">
        <f t="shared" si="0"/>
        <v>45442521.007599764</v>
      </c>
      <c r="M11" s="350"/>
      <c r="N11" s="351"/>
      <c r="O11" s="93"/>
      <c r="P11" s="93"/>
      <c r="Q11" s="93"/>
    </row>
    <row r="12" spans="2:17" ht="15" customHeight="1" x14ac:dyDescent="0.25">
      <c r="B12" s="94"/>
      <c r="C12" s="314"/>
      <c r="D12" s="314"/>
      <c r="E12" s="95"/>
      <c r="F12" s="95"/>
      <c r="G12" s="95"/>
      <c r="H12" s="95"/>
      <c r="I12" s="95"/>
      <c r="J12" s="95"/>
      <c r="K12" s="95"/>
      <c r="L12" s="95"/>
      <c r="N12" s="93"/>
      <c r="O12" s="93"/>
      <c r="P12" s="93"/>
      <c r="Q12" s="93"/>
    </row>
    <row r="13" spans="2:17" ht="21.75" customHeight="1" x14ac:dyDescent="0.25">
      <c r="B13" s="94"/>
      <c r="C13" s="1194" t="s">
        <v>133</v>
      </c>
      <c r="D13" s="1194"/>
      <c r="E13" s="96">
        <v>44196</v>
      </c>
      <c r="F13" s="96"/>
      <c r="G13" s="781">
        <v>44530</v>
      </c>
      <c r="H13" s="96"/>
      <c r="I13" s="315"/>
      <c r="J13" s="315"/>
      <c r="K13" s="95"/>
      <c r="L13" s="95"/>
      <c r="M13" s="137"/>
      <c r="N13" s="93"/>
      <c r="O13" s="93"/>
      <c r="P13" s="93"/>
      <c r="Q13" s="93"/>
    </row>
    <row r="14" spans="2:17" ht="18.75" customHeight="1" x14ac:dyDescent="0.25">
      <c r="B14" s="1195" t="s">
        <v>82</v>
      </c>
      <c r="C14" s="1195"/>
      <c r="D14" s="1195"/>
      <c r="E14" s="97">
        <v>11.3</v>
      </c>
      <c r="F14" s="316"/>
      <c r="G14" s="97">
        <v>11.2941</v>
      </c>
      <c r="I14" s="98"/>
      <c r="J14" s="98"/>
      <c r="K14" s="99"/>
      <c r="L14" s="95"/>
    </row>
    <row r="15" spans="2:17" ht="18.75" customHeight="1" x14ac:dyDescent="0.25">
      <c r="B15" s="760"/>
      <c r="C15" s="760"/>
      <c r="D15" s="760"/>
      <c r="E15" s="316"/>
      <c r="F15" s="316"/>
      <c r="G15" s="781">
        <v>44530</v>
      </c>
      <c r="H15" s="98"/>
      <c r="I15" s="98"/>
      <c r="J15" s="98"/>
      <c r="K15" s="99"/>
      <c r="L15" s="95"/>
    </row>
    <row r="16" spans="2:17" ht="23.25" customHeight="1" x14ac:dyDescent="0.25">
      <c r="B16" s="1195" t="s">
        <v>83</v>
      </c>
      <c r="C16" s="1195"/>
      <c r="D16" s="1195"/>
      <c r="E16" s="100">
        <v>16.275099999999998</v>
      </c>
      <c r="F16" s="317"/>
      <c r="G16" s="100">
        <v>15.8208</v>
      </c>
      <c r="H16" s="100"/>
      <c r="I16" s="100"/>
      <c r="J16" s="100"/>
      <c r="K16" s="95"/>
      <c r="L16" s="95"/>
    </row>
    <row r="17" spans="2:13" ht="46.5" customHeight="1" x14ac:dyDescent="0.2">
      <c r="C17" s="1196" t="s">
        <v>84</v>
      </c>
      <c r="D17" s="1196"/>
      <c r="E17" s="1196"/>
      <c r="F17" s="1196"/>
      <c r="G17" s="1196"/>
      <c r="H17" s="1196"/>
      <c r="I17" s="1196"/>
      <c r="J17" s="1196"/>
      <c r="K17" s="1196"/>
      <c r="L17" s="1196"/>
    </row>
    <row r="18" spans="2:13" ht="46.5" customHeight="1" x14ac:dyDescent="0.3">
      <c r="B18" s="352"/>
      <c r="C18" s="353"/>
      <c r="D18" s="353"/>
      <c r="E18" s="353"/>
      <c r="F18" s="353"/>
      <c r="G18" s="353"/>
      <c r="H18" s="353"/>
      <c r="I18" s="353"/>
      <c r="J18" s="353"/>
      <c r="K18" s="353"/>
      <c r="L18" s="353"/>
      <c r="M18" s="354"/>
    </row>
    <row r="19" spans="2:13" ht="46.5" customHeight="1" x14ac:dyDescent="0.2">
      <c r="G19" s="101"/>
      <c r="H19" s="101"/>
      <c r="I19" s="101"/>
      <c r="J19" s="101"/>
    </row>
    <row r="20" spans="2:13" ht="46.5" customHeight="1" x14ac:dyDescent="0.2">
      <c r="G20" s="6"/>
      <c r="H20" s="6"/>
      <c r="I20" s="6"/>
      <c r="J20" s="6"/>
    </row>
    <row r="21" spans="2:13" ht="46.5" customHeight="1" x14ac:dyDescent="0.2">
      <c r="G21" s="6"/>
      <c r="H21" s="6"/>
      <c r="I21" s="6"/>
      <c r="J21" s="6"/>
      <c r="L21" s="137"/>
    </row>
    <row r="22" spans="2:13" ht="46.5" customHeight="1" x14ac:dyDescent="0.25">
      <c r="D22" s="102"/>
      <c r="E22" s="103"/>
      <c r="F22" s="95"/>
      <c r="G22" s="356"/>
      <c r="H22" s="357"/>
      <c r="I22" s="102"/>
      <c r="J22" s="102"/>
      <c r="K22" s="99"/>
      <c r="L22" s="137"/>
    </row>
    <row r="23" spans="2:13" ht="46.5" customHeight="1" x14ac:dyDescent="0.3">
      <c r="G23" s="355"/>
      <c r="H23" s="358"/>
      <c r="I23" s="6"/>
      <c r="J23" s="6"/>
      <c r="K23" s="99"/>
    </row>
    <row r="24" spans="2:13" ht="46.5" customHeight="1" x14ac:dyDescent="0.25">
      <c r="C24" s="104"/>
      <c r="D24" s="105"/>
      <c r="K24" s="99"/>
    </row>
    <row r="25" spans="2:13" ht="46.5" customHeight="1" x14ac:dyDescent="0.25">
      <c r="D25" s="105"/>
      <c r="F25" s="137"/>
      <c r="K25" s="99"/>
    </row>
    <row r="26" spans="2:13" ht="46.5" customHeight="1" x14ac:dyDescent="0.25">
      <c r="F26" s="137"/>
      <c r="H26" s="358"/>
      <c r="I26" s="6"/>
      <c r="J26" s="6"/>
      <c r="K26" s="99"/>
    </row>
    <row r="27" spans="2:13" ht="46.5" customHeight="1" x14ac:dyDescent="0.25">
      <c r="K27" s="99"/>
    </row>
    <row r="28" spans="2:13" ht="46.5" customHeight="1" x14ac:dyDescent="0.25">
      <c r="K28" s="99"/>
    </row>
    <row r="29" spans="2:13" ht="46.5" customHeight="1" x14ac:dyDescent="0.25">
      <c r="H29" s="358"/>
      <c r="I29" s="6"/>
      <c r="J29" s="6"/>
      <c r="K29" s="99"/>
    </row>
    <row r="30" spans="2:13" ht="46.5" customHeight="1" x14ac:dyDescent="0.25">
      <c r="K30" s="99"/>
    </row>
    <row r="31" spans="2:13" ht="46.5" customHeight="1" x14ac:dyDescent="0.25">
      <c r="K31" s="99"/>
    </row>
    <row r="32" spans="2:13" ht="46.5" customHeight="1" x14ac:dyDescent="0.25">
      <c r="H32" s="358"/>
      <c r="I32" s="6"/>
      <c r="J32" s="6"/>
      <c r="K32" s="99"/>
    </row>
  </sheetData>
  <mergeCells count="10">
    <mergeCell ref="C13:D13"/>
    <mergeCell ref="B14:D14"/>
    <mergeCell ref="B16:D16"/>
    <mergeCell ref="C17:L17"/>
    <mergeCell ref="B1:L1"/>
    <mergeCell ref="B2:B3"/>
    <mergeCell ref="C2:C3"/>
    <mergeCell ref="D2:F2"/>
    <mergeCell ref="G2:H2"/>
    <mergeCell ref="B11:C11"/>
  </mergeCells>
  <pageMargins left="0.61" right="0.19685039370078741" top="0.6692913385826772" bottom="0.74803149606299213" header="0.31496062992125984" footer="0.31496062992125984"/>
  <pageSetup paperSize="9" scale="45" orientation="landscape" verticalDpi="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116"/>
  <sheetViews>
    <sheetView topLeftCell="B87" zoomScaleNormal="100" zoomScaleSheetLayoutView="100" workbookViewId="0">
      <selection activeCell="D77" sqref="D77:P104"/>
    </sheetView>
  </sheetViews>
  <sheetFormatPr defaultRowHeight="15" x14ac:dyDescent="0.25"/>
  <cols>
    <col min="1" max="1" width="3.5703125" hidden="1" customWidth="1"/>
    <col min="2" max="3" width="9" customWidth="1"/>
    <col min="4" max="4" width="3.28515625" customWidth="1"/>
    <col min="5" max="5" width="14.28515625" customWidth="1"/>
    <col min="6" max="6" width="14.42578125" customWidth="1"/>
    <col min="7" max="7" width="20.28515625" customWidth="1"/>
    <col min="8" max="8" width="10.28515625" customWidth="1"/>
    <col min="9" max="9" width="6.5703125" customWidth="1"/>
    <col min="10" max="10" width="5.28515625" customWidth="1"/>
    <col min="11" max="11" width="19.85546875" customWidth="1"/>
    <col min="12" max="12" width="18.140625" customWidth="1"/>
    <col min="13" max="13" width="19.42578125" customWidth="1"/>
    <col min="14" max="14" width="19" customWidth="1"/>
    <col min="15" max="15" width="12.42578125" customWidth="1"/>
    <col min="16" max="16" width="19.42578125" customWidth="1"/>
    <col min="17" max="17" width="26.28515625" customWidth="1"/>
    <col min="18" max="18" width="13.140625" bestFit="1" customWidth="1"/>
    <col min="19" max="19" width="20.42578125" bestFit="1" customWidth="1"/>
  </cols>
  <sheetData>
    <row r="1" spans="2:22" ht="42" customHeight="1" x14ac:dyDescent="0.3">
      <c r="B1" s="1213" t="s">
        <v>120</v>
      </c>
      <c r="C1" s="1213"/>
      <c r="D1" s="1213"/>
      <c r="E1" s="1213"/>
      <c r="F1" s="1213"/>
      <c r="G1" s="1213"/>
      <c r="H1" s="1213"/>
      <c r="I1" s="1213"/>
      <c r="J1" s="1213"/>
      <c r="K1" s="1213"/>
      <c r="L1" s="1213"/>
      <c r="M1" s="1213"/>
    </row>
    <row r="2" spans="2:22" ht="49.5" customHeight="1" x14ac:dyDescent="0.25">
      <c r="B2" s="1214" t="s">
        <v>122</v>
      </c>
      <c r="C2" s="1214"/>
      <c r="D2" s="1214"/>
      <c r="E2" s="1214"/>
      <c r="F2" s="1214"/>
      <c r="G2" s="1214"/>
      <c r="H2" s="1214"/>
      <c r="I2" s="1214"/>
      <c r="J2" s="1214"/>
      <c r="K2" s="1214"/>
      <c r="L2" s="1214"/>
      <c r="M2" s="1214"/>
    </row>
    <row r="3" spans="2:22" ht="29.25" customHeight="1" thickBot="1" x14ac:dyDescent="0.3">
      <c r="B3" s="1231"/>
      <c r="C3" s="1231"/>
      <c r="D3" s="1232"/>
      <c r="E3" s="1232"/>
      <c r="F3" s="1232"/>
      <c r="G3" s="1232"/>
      <c r="H3" s="1232"/>
      <c r="I3" s="1232"/>
      <c r="J3" s="1232"/>
      <c r="K3" s="1232"/>
      <c r="L3" s="1232"/>
      <c r="M3" s="448" t="s">
        <v>49</v>
      </c>
      <c r="N3" s="129"/>
      <c r="O3" s="129"/>
      <c r="P3" s="129"/>
      <c r="Q3" s="129"/>
      <c r="R3" s="129"/>
      <c r="S3" s="129"/>
      <c r="T3" s="129"/>
      <c r="U3" s="129"/>
      <c r="V3" s="129"/>
    </row>
    <row r="4" spans="2:22" ht="54.75" thickBot="1" x14ac:dyDescent="0.3">
      <c r="B4" s="449"/>
      <c r="C4" s="449"/>
      <c r="D4" s="450" t="s">
        <v>28</v>
      </c>
      <c r="E4" s="1233" t="s">
        <v>85</v>
      </c>
      <c r="F4" s="1234"/>
      <c r="G4" s="450" t="s">
        <v>86</v>
      </c>
      <c r="H4" s="451" t="s">
        <v>40</v>
      </c>
      <c r="I4" s="451" t="s">
        <v>93</v>
      </c>
      <c r="J4" s="452" t="s">
        <v>87</v>
      </c>
      <c r="K4" s="451" t="s">
        <v>88</v>
      </c>
      <c r="L4" s="453" t="s">
        <v>89</v>
      </c>
      <c r="M4" s="454" t="s">
        <v>90</v>
      </c>
    </row>
    <row r="5" spans="2:22" ht="18" x14ac:dyDescent="0.25">
      <c r="B5" s="449"/>
      <c r="C5" s="449"/>
      <c r="D5" s="309">
        <v>1</v>
      </c>
      <c r="E5" s="455">
        <v>43466</v>
      </c>
      <c r="F5" s="456">
        <v>43830</v>
      </c>
      <c r="G5" s="457">
        <f>1165000000</f>
        <v>1165000000</v>
      </c>
      <c r="H5" s="458">
        <v>0.02</v>
      </c>
      <c r="I5" s="459">
        <v>365</v>
      </c>
      <c r="J5" s="459">
        <v>365</v>
      </c>
      <c r="K5" s="460"/>
      <c r="L5" s="461">
        <v>23300000</v>
      </c>
      <c r="M5" s="462">
        <f>K5+L5</f>
        <v>23300000</v>
      </c>
    </row>
    <row r="6" spans="2:22" ht="18" x14ac:dyDescent="0.25">
      <c r="B6" s="463"/>
      <c r="C6" s="463"/>
      <c r="D6" s="855">
        <v>2</v>
      </c>
      <c r="E6" s="863">
        <v>43831</v>
      </c>
      <c r="F6" s="864">
        <v>44196</v>
      </c>
      <c r="G6" s="865">
        <f>1165000000</f>
        <v>1165000000</v>
      </c>
      <c r="H6" s="866">
        <v>0.02</v>
      </c>
      <c r="I6" s="867">
        <v>366</v>
      </c>
      <c r="J6" s="867">
        <v>366</v>
      </c>
      <c r="K6" s="861">
        <v>106000000</v>
      </c>
      <c r="L6" s="862">
        <v>21468983.329999998</v>
      </c>
      <c r="M6" s="858">
        <f>K6+L6</f>
        <v>127468983.33</v>
      </c>
      <c r="N6" s="108"/>
      <c r="O6" s="108"/>
    </row>
    <row r="7" spans="2:22" ht="18" x14ac:dyDescent="0.25">
      <c r="B7" s="463"/>
      <c r="C7" s="463"/>
      <c r="D7" s="855">
        <v>3</v>
      </c>
      <c r="E7" s="856">
        <v>44197</v>
      </c>
      <c r="F7" s="857">
        <v>44561</v>
      </c>
      <c r="G7" s="858">
        <f>G6-K6</f>
        <v>1059000000</v>
      </c>
      <c r="H7" s="859">
        <v>0.02</v>
      </c>
      <c r="I7" s="860">
        <v>365</v>
      </c>
      <c r="J7" s="860">
        <v>365</v>
      </c>
      <c r="K7" s="861">
        <v>106000000</v>
      </c>
      <c r="L7" s="862">
        <f t="shared" ref="L7:L16" si="0">G7*H7*J7/J7</f>
        <v>21180000</v>
      </c>
      <c r="M7" s="858">
        <f t="shared" ref="M7:M16" si="1">K7+L7</f>
        <v>127180000</v>
      </c>
      <c r="N7" s="108"/>
      <c r="O7" s="108"/>
    </row>
    <row r="8" spans="2:22" ht="18" x14ac:dyDescent="0.25">
      <c r="B8" s="463"/>
      <c r="C8" s="463"/>
      <c r="D8" s="855">
        <v>4</v>
      </c>
      <c r="E8" s="856">
        <v>44562</v>
      </c>
      <c r="F8" s="857">
        <v>44926</v>
      </c>
      <c r="G8" s="858">
        <f t="shared" ref="G8:G16" si="2">G7-K7</f>
        <v>953000000</v>
      </c>
      <c r="H8" s="859">
        <v>0.02</v>
      </c>
      <c r="I8" s="860">
        <v>365</v>
      </c>
      <c r="J8" s="860">
        <v>365</v>
      </c>
      <c r="K8" s="861">
        <v>106000000</v>
      </c>
      <c r="L8" s="862">
        <f>G8*H8*J8/J8</f>
        <v>19060000</v>
      </c>
      <c r="M8" s="858">
        <f t="shared" si="1"/>
        <v>125060000</v>
      </c>
      <c r="N8" s="108"/>
      <c r="O8" s="108"/>
    </row>
    <row r="9" spans="2:22" ht="18" x14ac:dyDescent="0.25">
      <c r="B9" s="463"/>
      <c r="C9" s="463"/>
      <c r="D9" s="309">
        <v>5</v>
      </c>
      <c r="E9" s="465">
        <v>44927</v>
      </c>
      <c r="F9" s="466">
        <v>45291</v>
      </c>
      <c r="G9" s="464">
        <f t="shared" si="2"/>
        <v>847000000</v>
      </c>
      <c r="H9" s="467">
        <v>0.02</v>
      </c>
      <c r="I9" s="468">
        <v>365</v>
      </c>
      <c r="J9" s="468">
        <v>365</v>
      </c>
      <c r="K9" s="460">
        <v>106000000</v>
      </c>
      <c r="L9" s="461">
        <f t="shared" si="0"/>
        <v>16940000</v>
      </c>
      <c r="M9" s="464">
        <f t="shared" si="1"/>
        <v>122940000</v>
      </c>
      <c r="N9" s="108"/>
      <c r="O9" s="108"/>
    </row>
    <row r="10" spans="2:22" ht="18" x14ac:dyDescent="0.25">
      <c r="B10" s="463"/>
      <c r="C10" s="463"/>
      <c r="D10" s="309">
        <v>6</v>
      </c>
      <c r="E10" s="465">
        <v>45292</v>
      </c>
      <c r="F10" s="466">
        <v>45657</v>
      </c>
      <c r="G10" s="464">
        <f t="shared" si="2"/>
        <v>741000000</v>
      </c>
      <c r="H10" s="467">
        <v>0.02</v>
      </c>
      <c r="I10" s="468">
        <v>366</v>
      </c>
      <c r="J10" s="468">
        <v>366</v>
      </c>
      <c r="K10" s="460">
        <v>106000000</v>
      </c>
      <c r="L10" s="461">
        <f t="shared" si="0"/>
        <v>14820000</v>
      </c>
      <c r="M10" s="464">
        <f t="shared" si="1"/>
        <v>120820000</v>
      </c>
      <c r="N10" s="108"/>
      <c r="O10" s="108"/>
    </row>
    <row r="11" spans="2:22" ht="18" x14ac:dyDescent="0.25">
      <c r="B11" s="463"/>
      <c r="C11" s="463"/>
      <c r="D11" s="309">
        <v>7</v>
      </c>
      <c r="E11" s="465">
        <v>45658</v>
      </c>
      <c r="F11" s="466">
        <v>46022</v>
      </c>
      <c r="G11" s="464">
        <f t="shared" si="2"/>
        <v>635000000</v>
      </c>
      <c r="H11" s="467">
        <v>0.02</v>
      </c>
      <c r="I11" s="468">
        <v>365</v>
      </c>
      <c r="J11" s="468">
        <v>365</v>
      </c>
      <c r="K11" s="460">
        <v>106000000</v>
      </c>
      <c r="L11" s="461">
        <f t="shared" si="0"/>
        <v>12700000</v>
      </c>
      <c r="M11" s="464">
        <f t="shared" si="1"/>
        <v>118700000</v>
      </c>
      <c r="N11" s="108"/>
      <c r="O11" s="108"/>
    </row>
    <row r="12" spans="2:22" ht="18" x14ac:dyDescent="0.25">
      <c r="B12" s="463"/>
      <c r="C12" s="463"/>
      <c r="D12" s="309">
        <v>8</v>
      </c>
      <c r="E12" s="465">
        <v>46023</v>
      </c>
      <c r="F12" s="466">
        <v>46387</v>
      </c>
      <c r="G12" s="464">
        <f t="shared" si="2"/>
        <v>529000000</v>
      </c>
      <c r="H12" s="467">
        <v>0.02</v>
      </c>
      <c r="I12" s="468">
        <v>365</v>
      </c>
      <c r="J12" s="468">
        <v>365</v>
      </c>
      <c r="K12" s="460">
        <v>106000000</v>
      </c>
      <c r="L12" s="461">
        <f t="shared" si="0"/>
        <v>10580000</v>
      </c>
      <c r="M12" s="464">
        <f t="shared" si="1"/>
        <v>116580000</v>
      </c>
      <c r="N12" s="108"/>
      <c r="O12" s="108"/>
    </row>
    <row r="13" spans="2:22" ht="18" x14ac:dyDescent="0.25">
      <c r="B13" s="463"/>
      <c r="C13" s="463"/>
      <c r="D13" s="309">
        <v>9</v>
      </c>
      <c r="E13" s="465">
        <v>46388</v>
      </c>
      <c r="F13" s="466">
        <v>46752</v>
      </c>
      <c r="G13" s="464">
        <f t="shared" si="2"/>
        <v>423000000</v>
      </c>
      <c r="H13" s="467">
        <v>0.02</v>
      </c>
      <c r="I13" s="468">
        <v>365</v>
      </c>
      <c r="J13" s="468">
        <v>365</v>
      </c>
      <c r="K13" s="460">
        <v>106000000</v>
      </c>
      <c r="L13" s="461">
        <f t="shared" si="0"/>
        <v>8460000</v>
      </c>
      <c r="M13" s="464">
        <f t="shared" si="1"/>
        <v>114460000</v>
      </c>
      <c r="N13" s="108"/>
      <c r="O13" s="108"/>
      <c r="S13" s="108"/>
    </row>
    <row r="14" spans="2:22" ht="18" x14ac:dyDescent="0.25">
      <c r="B14" s="463"/>
      <c r="C14" s="463"/>
      <c r="D14" s="309">
        <v>10</v>
      </c>
      <c r="E14" s="465">
        <v>46753</v>
      </c>
      <c r="F14" s="466">
        <v>47118</v>
      </c>
      <c r="G14" s="464">
        <f t="shared" si="2"/>
        <v>317000000</v>
      </c>
      <c r="H14" s="467">
        <v>0.02</v>
      </c>
      <c r="I14" s="468">
        <v>366</v>
      </c>
      <c r="J14" s="468">
        <v>366</v>
      </c>
      <c r="K14" s="460">
        <v>106000000</v>
      </c>
      <c r="L14" s="461">
        <f t="shared" si="0"/>
        <v>6340000</v>
      </c>
      <c r="M14" s="464">
        <f t="shared" si="1"/>
        <v>112340000</v>
      </c>
      <c r="N14" s="108"/>
      <c r="O14" s="108"/>
      <c r="S14" s="108"/>
    </row>
    <row r="15" spans="2:22" ht="18" x14ac:dyDescent="0.25">
      <c r="B15" s="463"/>
      <c r="C15" s="463"/>
      <c r="D15" s="469">
        <v>11</v>
      </c>
      <c r="E15" s="465">
        <v>47119</v>
      </c>
      <c r="F15" s="466">
        <v>47483</v>
      </c>
      <c r="G15" s="464">
        <f t="shared" si="2"/>
        <v>211000000</v>
      </c>
      <c r="H15" s="467">
        <v>0.02</v>
      </c>
      <c r="I15" s="468">
        <v>365</v>
      </c>
      <c r="J15" s="468">
        <v>365</v>
      </c>
      <c r="K15" s="460">
        <v>106000000</v>
      </c>
      <c r="L15" s="461">
        <f t="shared" si="0"/>
        <v>4220000</v>
      </c>
      <c r="M15" s="464">
        <f t="shared" si="1"/>
        <v>110220000</v>
      </c>
      <c r="N15" s="108"/>
      <c r="O15" s="108"/>
      <c r="S15" s="108"/>
    </row>
    <row r="16" spans="2:22" ht="18.75" thickBot="1" x14ac:dyDescent="0.3">
      <c r="B16" s="463"/>
      <c r="C16" s="463"/>
      <c r="D16" s="469">
        <v>12</v>
      </c>
      <c r="E16" s="470">
        <v>47484</v>
      </c>
      <c r="F16" s="471">
        <v>47848</v>
      </c>
      <c r="G16" s="472">
        <f t="shared" si="2"/>
        <v>105000000</v>
      </c>
      <c r="H16" s="473">
        <v>0.02</v>
      </c>
      <c r="I16" s="474">
        <v>365</v>
      </c>
      <c r="J16" s="474">
        <v>365</v>
      </c>
      <c r="K16" s="475">
        <v>105000000</v>
      </c>
      <c r="L16" s="476">
        <f t="shared" si="0"/>
        <v>2100000</v>
      </c>
      <c r="M16" s="477">
        <f t="shared" si="1"/>
        <v>107100000</v>
      </c>
      <c r="N16" s="108"/>
      <c r="O16" s="108"/>
    </row>
    <row r="17" spans="2:19" ht="18.75" thickBot="1" x14ac:dyDescent="0.3">
      <c r="B17" s="463"/>
      <c r="C17" s="463"/>
      <c r="D17" s="1233" t="s">
        <v>81</v>
      </c>
      <c r="E17" s="1234"/>
      <c r="F17" s="1235"/>
      <c r="G17" s="478" t="s">
        <v>91</v>
      </c>
      <c r="H17" s="478" t="s">
        <v>91</v>
      </c>
      <c r="I17" s="478" t="s">
        <v>91</v>
      </c>
      <c r="J17" s="478" t="s">
        <v>91</v>
      </c>
      <c r="K17" s="479">
        <f>SUM(K6:K16)</f>
        <v>1165000000</v>
      </c>
      <c r="L17" s="480">
        <f>SUM(L5:L16)</f>
        <v>161168983.32999998</v>
      </c>
      <c r="M17" s="481">
        <f>SUM(M6:M16)</f>
        <v>1302868983.3299999</v>
      </c>
      <c r="S17" s="108"/>
    </row>
    <row r="18" spans="2:19" x14ac:dyDescent="0.25">
      <c r="B18" s="482"/>
      <c r="C18" s="482"/>
      <c r="D18" s="482"/>
      <c r="E18" s="482"/>
      <c r="F18" s="482"/>
      <c r="G18" s="482"/>
      <c r="H18" s="482"/>
      <c r="I18" s="482"/>
      <c r="J18" s="482"/>
      <c r="K18" s="482"/>
      <c r="L18" s="482"/>
      <c r="M18" s="463"/>
    </row>
    <row r="19" spans="2:19" ht="67.5" customHeight="1" x14ac:dyDescent="0.25">
      <c r="B19" s="1229" t="s">
        <v>92</v>
      </c>
      <c r="C19" s="1229"/>
      <c r="D19" s="1229"/>
      <c r="E19" s="1229"/>
      <c r="F19" s="1229"/>
      <c r="G19" s="1229"/>
      <c r="H19" s="1229"/>
      <c r="I19" s="1229"/>
      <c r="J19" s="1229"/>
      <c r="K19" s="1229"/>
      <c r="L19" s="1229"/>
      <c r="M19" s="1229"/>
      <c r="S19" s="58"/>
    </row>
    <row r="20" spans="2:19" ht="27.75" customHeight="1" x14ac:dyDescent="0.25">
      <c r="B20" s="128"/>
      <c r="C20" s="328"/>
      <c r="D20" s="328"/>
      <c r="E20" s="128"/>
      <c r="F20" s="128"/>
      <c r="G20" s="128"/>
      <c r="H20" s="128"/>
      <c r="I20" s="128"/>
      <c r="J20" s="128"/>
      <c r="K20" s="128"/>
      <c r="L20" s="128"/>
      <c r="S20" s="58"/>
    </row>
    <row r="21" spans="2:19" ht="27" customHeight="1" x14ac:dyDescent="0.25">
      <c r="B21" s="1230" t="s">
        <v>119</v>
      </c>
      <c r="C21" s="1230"/>
      <c r="D21" s="1230"/>
      <c r="E21" s="1230"/>
      <c r="F21" s="1230"/>
      <c r="G21" s="1230"/>
      <c r="H21" s="1230"/>
      <c r="I21" s="1230"/>
      <c r="J21" s="1230"/>
      <c r="K21" s="1230"/>
      <c r="L21" s="1230"/>
      <c r="M21" s="1230"/>
      <c r="N21" s="1230"/>
      <c r="O21" s="1230"/>
      <c r="P21" s="1230"/>
    </row>
    <row r="22" spans="2:19" ht="23.25" customHeight="1" x14ac:dyDescent="0.25">
      <c r="B22" s="1230" t="s">
        <v>121</v>
      </c>
      <c r="C22" s="1230"/>
      <c r="D22" s="1230"/>
      <c r="E22" s="1230"/>
      <c r="F22" s="1230"/>
      <c r="G22" s="1230"/>
      <c r="H22" s="1230"/>
      <c r="I22" s="1230"/>
      <c r="J22" s="1230"/>
      <c r="K22" s="1230"/>
      <c r="L22" s="1230"/>
      <c r="M22" s="1230"/>
      <c r="N22" s="1230"/>
      <c r="O22" s="1230"/>
      <c r="P22" s="1230"/>
    </row>
    <row r="23" spans="2:19" ht="24" customHeight="1" x14ac:dyDescent="0.25">
      <c r="B23" s="1230" t="s">
        <v>157</v>
      </c>
      <c r="C23" s="1230"/>
      <c r="D23" s="1230"/>
      <c r="E23" s="1230"/>
      <c r="F23" s="1230"/>
      <c r="G23" s="1230"/>
      <c r="H23" s="1230"/>
      <c r="I23" s="1230"/>
      <c r="J23" s="1230"/>
      <c r="K23" s="1230"/>
      <c r="L23" s="1230"/>
      <c r="M23" s="1230"/>
      <c r="N23" s="1230"/>
      <c r="O23" s="1230"/>
      <c r="P23" s="1230"/>
    </row>
    <row r="24" spans="2:19" ht="27.75" customHeight="1" thickBot="1" x14ac:dyDescent="0.3">
      <c r="B24" s="1251" t="s">
        <v>49</v>
      </c>
      <c r="C24" s="1251"/>
      <c r="D24" s="1252"/>
      <c r="E24" s="1252"/>
      <c r="F24" s="1252"/>
      <c r="G24" s="1252"/>
      <c r="H24" s="1252"/>
      <c r="I24" s="1252"/>
      <c r="J24" s="1252"/>
      <c r="K24" s="1252"/>
      <c r="L24" s="1252"/>
      <c r="M24" s="1252"/>
      <c r="N24" s="1252"/>
      <c r="O24" s="1252"/>
      <c r="P24" s="1252"/>
    </row>
    <row r="25" spans="2:19" ht="53.25" customHeight="1" thickBot="1" x14ac:dyDescent="0.3">
      <c r="B25" s="36"/>
      <c r="C25" s="36"/>
      <c r="D25" s="1219" t="s">
        <v>28</v>
      </c>
      <c r="E25" s="1224" t="s">
        <v>85</v>
      </c>
      <c r="F25" s="1225"/>
      <c r="G25" s="1219" t="s">
        <v>86</v>
      </c>
      <c r="H25" s="1198" t="s">
        <v>40</v>
      </c>
      <c r="I25" s="1198" t="s">
        <v>93</v>
      </c>
      <c r="J25" s="1198" t="s">
        <v>87</v>
      </c>
      <c r="K25" s="1221" t="s">
        <v>143</v>
      </c>
      <c r="L25" s="1222"/>
      <c r="M25" s="1223"/>
      <c r="N25" s="1198" t="s">
        <v>30</v>
      </c>
      <c r="O25" s="1198" t="s">
        <v>152</v>
      </c>
      <c r="P25" s="1198" t="s">
        <v>162</v>
      </c>
    </row>
    <row r="26" spans="2:19" ht="48.75" customHeight="1" thickBot="1" x14ac:dyDescent="0.3">
      <c r="D26" s="1220"/>
      <c r="E26" s="1226"/>
      <c r="F26" s="1227"/>
      <c r="G26" s="1228"/>
      <c r="H26" s="1199"/>
      <c r="I26" s="1199"/>
      <c r="J26" s="1199"/>
      <c r="K26" s="61" t="s">
        <v>144</v>
      </c>
      <c r="L26" s="60" t="s">
        <v>131</v>
      </c>
      <c r="M26" s="319" t="s">
        <v>90</v>
      </c>
      <c r="N26" s="1199"/>
      <c r="O26" s="1199"/>
      <c r="P26" s="1199"/>
    </row>
    <row r="27" spans="2:19" ht="18" x14ac:dyDescent="0.25">
      <c r="D27" s="385">
        <v>1</v>
      </c>
      <c r="E27" s="384">
        <v>43831</v>
      </c>
      <c r="F27" s="110">
        <v>43845</v>
      </c>
      <c r="G27" s="111">
        <v>1165000000</v>
      </c>
      <c r="H27" s="112">
        <v>0.02</v>
      </c>
      <c r="I27" s="113">
        <v>15</v>
      </c>
      <c r="J27" s="106">
        <v>360</v>
      </c>
      <c r="K27" s="114">
        <v>0</v>
      </c>
      <c r="L27" s="107">
        <f>G27*H27*I27/J27</f>
        <v>970833.33333333337</v>
      </c>
      <c r="M27" s="107">
        <f>K27+L27</f>
        <v>970833.33333333337</v>
      </c>
      <c r="N27" s="114">
        <v>0</v>
      </c>
      <c r="O27" s="107">
        <v>0</v>
      </c>
      <c r="P27" s="107">
        <f>M27-N27</f>
        <v>970833.33333333337</v>
      </c>
      <c r="R27" s="209"/>
    </row>
    <row r="28" spans="2:19" ht="18" x14ac:dyDescent="0.25">
      <c r="D28" s="67">
        <v>2</v>
      </c>
      <c r="E28" s="869">
        <v>43846</v>
      </c>
      <c r="F28" s="870">
        <v>43846</v>
      </c>
      <c r="G28" s="871">
        <f t="shared" ref="G28:G33" si="3">G27-N28</f>
        <v>1088700000</v>
      </c>
      <c r="H28" s="872">
        <v>0.02</v>
      </c>
      <c r="I28" s="873">
        <v>1</v>
      </c>
      <c r="J28" s="860">
        <v>360</v>
      </c>
      <c r="K28" s="871"/>
      <c r="L28" s="858">
        <f t="shared" ref="L28:L35" si="4">G28*H28*I28/J28</f>
        <v>60483.333333333336</v>
      </c>
      <c r="M28" s="858">
        <f>K28+L28</f>
        <v>60483.333333333336</v>
      </c>
      <c r="N28" s="868">
        <v>76300000</v>
      </c>
      <c r="O28" s="858"/>
      <c r="P28" s="858">
        <f>M28-(N28+O28)</f>
        <v>-76239516.666666672</v>
      </c>
      <c r="R28" s="108"/>
    </row>
    <row r="29" spans="2:19" ht="18" x14ac:dyDescent="0.25">
      <c r="D29" s="67">
        <v>3</v>
      </c>
      <c r="E29" s="874">
        <v>43847</v>
      </c>
      <c r="F29" s="875">
        <v>43861</v>
      </c>
      <c r="G29" s="861">
        <f t="shared" si="3"/>
        <v>1077000000</v>
      </c>
      <c r="H29" s="876">
        <v>0.02</v>
      </c>
      <c r="I29" s="877">
        <v>14</v>
      </c>
      <c r="J29" s="867">
        <v>360</v>
      </c>
      <c r="K29" s="862">
        <v>88000000</v>
      </c>
      <c r="L29" s="858">
        <f t="shared" si="4"/>
        <v>837666.66666666663</v>
      </c>
      <c r="M29" s="858">
        <f t="shared" ref="M29:M39" si="5">K29+L29</f>
        <v>88837666.666666672</v>
      </c>
      <c r="N29" s="862">
        <v>11700000</v>
      </c>
      <c r="O29" s="865"/>
      <c r="P29" s="858">
        <f>M29-(N29+O29)</f>
        <v>77137666.666666672</v>
      </c>
    </row>
    <row r="30" spans="2:19" ht="18" x14ac:dyDescent="0.25">
      <c r="D30" s="67">
        <v>4</v>
      </c>
      <c r="E30" s="361">
        <v>43862</v>
      </c>
      <c r="F30" s="115">
        <v>43889</v>
      </c>
      <c r="G30" s="111">
        <f t="shared" si="3"/>
        <v>1077000000</v>
      </c>
      <c r="H30" s="112">
        <v>0.02</v>
      </c>
      <c r="I30" s="116">
        <v>30</v>
      </c>
      <c r="J30" s="106">
        <v>360</v>
      </c>
      <c r="K30" s="114"/>
      <c r="L30" s="118">
        <f t="shared" si="4"/>
        <v>1795000</v>
      </c>
      <c r="M30" s="118">
        <f t="shared" si="5"/>
        <v>1795000</v>
      </c>
      <c r="N30" s="114"/>
      <c r="O30" s="109"/>
      <c r="P30" s="118">
        <f>M30-(N30+O30)</f>
        <v>1795000</v>
      </c>
    </row>
    <row r="31" spans="2:19" ht="18" x14ac:dyDescent="0.25">
      <c r="D31" s="67">
        <v>5</v>
      </c>
      <c r="E31" s="361">
        <v>43891</v>
      </c>
      <c r="F31" s="115">
        <v>43921</v>
      </c>
      <c r="G31" s="111">
        <f t="shared" si="3"/>
        <v>1077000000</v>
      </c>
      <c r="H31" s="112">
        <v>0.02</v>
      </c>
      <c r="I31" s="116">
        <v>30</v>
      </c>
      <c r="J31" s="106">
        <v>360</v>
      </c>
      <c r="K31" s="114"/>
      <c r="L31" s="118">
        <f t="shared" si="4"/>
        <v>1795000</v>
      </c>
      <c r="M31" s="118">
        <f t="shared" si="5"/>
        <v>1795000</v>
      </c>
      <c r="N31" s="114"/>
      <c r="O31" s="109"/>
      <c r="P31" s="118">
        <f t="shared" ref="P31:P41" si="6">M31-(N31+O31)</f>
        <v>1795000</v>
      </c>
    </row>
    <row r="32" spans="2:19" ht="18" x14ac:dyDescent="0.25">
      <c r="D32" s="67">
        <v>6</v>
      </c>
      <c r="E32" s="361">
        <v>43922</v>
      </c>
      <c r="F32" s="115">
        <v>43951</v>
      </c>
      <c r="G32" s="111">
        <f t="shared" si="3"/>
        <v>1077000000</v>
      </c>
      <c r="H32" s="112">
        <v>0.02</v>
      </c>
      <c r="I32" s="116">
        <v>30</v>
      </c>
      <c r="J32" s="106">
        <v>360</v>
      </c>
      <c r="K32" s="114"/>
      <c r="L32" s="118">
        <f t="shared" si="4"/>
        <v>1795000</v>
      </c>
      <c r="M32" s="118">
        <f t="shared" si="5"/>
        <v>1795000</v>
      </c>
      <c r="N32" s="114"/>
      <c r="O32" s="109"/>
      <c r="P32" s="118">
        <f t="shared" si="6"/>
        <v>1795000</v>
      </c>
    </row>
    <row r="33" spans="4:16" ht="18" x14ac:dyDescent="0.25">
      <c r="D33" s="67">
        <v>7</v>
      </c>
      <c r="E33" s="361">
        <v>43952</v>
      </c>
      <c r="F33" s="115">
        <v>43982</v>
      </c>
      <c r="G33" s="111">
        <f t="shared" si="3"/>
        <v>1077000000</v>
      </c>
      <c r="H33" s="112">
        <v>0.02</v>
      </c>
      <c r="I33" s="116">
        <v>30</v>
      </c>
      <c r="J33" s="106">
        <v>360</v>
      </c>
      <c r="K33" s="114"/>
      <c r="L33" s="118">
        <f t="shared" si="4"/>
        <v>1795000</v>
      </c>
      <c r="M33" s="118">
        <f t="shared" si="5"/>
        <v>1795000</v>
      </c>
      <c r="N33" s="114"/>
      <c r="O33" s="109"/>
      <c r="P33" s="118">
        <f t="shared" si="6"/>
        <v>1795000</v>
      </c>
    </row>
    <row r="34" spans="4:16" ht="18" x14ac:dyDescent="0.25">
      <c r="D34" s="67">
        <v>8</v>
      </c>
      <c r="E34" s="361">
        <v>43983</v>
      </c>
      <c r="F34" s="115">
        <v>44012</v>
      </c>
      <c r="G34" s="111">
        <f>G33-K34</f>
        <v>1077000000</v>
      </c>
      <c r="H34" s="112">
        <v>0.02</v>
      </c>
      <c r="I34" s="116">
        <v>30</v>
      </c>
      <c r="J34" s="106">
        <v>360</v>
      </c>
      <c r="K34" s="114"/>
      <c r="L34" s="118">
        <f t="shared" si="4"/>
        <v>1795000</v>
      </c>
      <c r="M34" s="118">
        <f>K34+L34</f>
        <v>1795000</v>
      </c>
      <c r="N34" s="114"/>
      <c r="O34" s="109"/>
      <c r="P34" s="118">
        <f t="shared" si="6"/>
        <v>1795000</v>
      </c>
    </row>
    <row r="35" spans="4:16" ht="18" x14ac:dyDescent="0.25">
      <c r="D35" s="67">
        <v>9</v>
      </c>
      <c r="E35" s="361">
        <v>44013</v>
      </c>
      <c r="F35" s="115">
        <v>44043</v>
      </c>
      <c r="G35" s="111">
        <f>G34-N35</f>
        <v>1077000000</v>
      </c>
      <c r="H35" s="117">
        <v>0.02</v>
      </c>
      <c r="I35" s="116">
        <v>30</v>
      </c>
      <c r="J35" s="106">
        <v>360</v>
      </c>
      <c r="K35" s="119"/>
      <c r="L35" s="118">
        <f t="shared" si="4"/>
        <v>1795000</v>
      </c>
      <c r="M35" s="118">
        <f t="shared" si="5"/>
        <v>1795000</v>
      </c>
      <c r="N35" s="119"/>
      <c r="O35" s="118"/>
      <c r="P35" s="118">
        <f t="shared" si="6"/>
        <v>1795000</v>
      </c>
    </row>
    <row r="36" spans="4:16" ht="18" x14ac:dyDescent="0.25">
      <c r="D36" s="67">
        <v>10</v>
      </c>
      <c r="E36" s="361">
        <v>44044</v>
      </c>
      <c r="F36" s="115">
        <v>44048</v>
      </c>
      <c r="G36" s="111">
        <f>G34-N36</f>
        <v>1077000000</v>
      </c>
      <c r="H36" s="112">
        <v>0.02</v>
      </c>
      <c r="I36" s="116">
        <v>5</v>
      </c>
      <c r="J36" s="106">
        <v>360</v>
      </c>
      <c r="K36" s="114"/>
      <c r="L36" s="118">
        <f t="shared" ref="L36:L41" si="7">G36*H36*I36/J36</f>
        <v>299166.66666666669</v>
      </c>
      <c r="M36" s="118">
        <f>K36+L36</f>
        <v>299166.66666666669</v>
      </c>
      <c r="N36" s="114"/>
      <c r="O36" s="109"/>
      <c r="P36" s="118">
        <f>M36-(N36+O36)</f>
        <v>299166.66666666669</v>
      </c>
    </row>
    <row r="37" spans="4:16" ht="18" x14ac:dyDescent="0.25">
      <c r="D37" s="855">
        <v>10</v>
      </c>
      <c r="E37" s="869">
        <v>44049</v>
      </c>
      <c r="F37" s="870">
        <v>44074</v>
      </c>
      <c r="G37" s="861">
        <f>G36-K37</f>
        <v>1059000000</v>
      </c>
      <c r="H37" s="876">
        <v>0.02</v>
      </c>
      <c r="I37" s="873">
        <v>25</v>
      </c>
      <c r="J37" s="867">
        <v>360</v>
      </c>
      <c r="K37" s="862">
        <v>18000000</v>
      </c>
      <c r="L37" s="858">
        <f t="shared" si="7"/>
        <v>1470833.3333333333</v>
      </c>
      <c r="M37" s="858">
        <f>K37+L37</f>
        <v>19470833.333333332</v>
      </c>
      <c r="N37" s="862">
        <v>18000000</v>
      </c>
      <c r="O37" s="865"/>
      <c r="P37" s="858">
        <f t="shared" si="6"/>
        <v>1470833.3333333321</v>
      </c>
    </row>
    <row r="38" spans="4:16" ht="18" x14ac:dyDescent="0.25">
      <c r="D38" s="67">
        <v>11</v>
      </c>
      <c r="E38" s="362">
        <v>44075</v>
      </c>
      <c r="F38" s="120">
        <v>44104</v>
      </c>
      <c r="G38" s="111">
        <f>G37-N38</f>
        <v>1059000000</v>
      </c>
      <c r="H38" s="112">
        <v>0.02</v>
      </c>
      <c r="I38" s="121">
        <v>30</v>
      </c>
      <c r="J38" s="106">
        <v>360</v>
      </c>
      <c r="K38" s="114"/>
      <c r="L38" s="118">
        <f t="shared" si="7"/>
        <v>1765000</v>
      </c>
      <c r="M38" s="118">
        <f>K38+L38</f>
        <v>1765000</v>
      </c>
      <c r="N38" s="114"/>
      <c r="O38" s="109"/>
      <c r="P38" s="118">
        <f t="shared" si="6"/>
        <v>1765000</v>
      </c>
    </row>
    <row r="39" spans="4:16" ht="18" x14ac:dyDescent="0.25">
      <c r="D39" s="855">
        <v>12</v>
      </c>
      <c r="E39" s="869">
        <v>44105</v>
      </c>
      <c r="F39" s="870">
        <v>44135</v>
      </c>
      <c r="G39" s="861">
        <f>G38-N39</f>
        <v>1059000000</v>
      </c>
      <c r="H39" s="876">
        <v>0.02</v>
      </c>
      <c r="I39" s="873">
        <v>30</v>
      </c>
      <c r="J39" s="867">
        <v>360</v>
      </c>
      <c r="K39" s="862"/>
      <c r="L39" s="858">
        <f t="shared" si="7"/>
        <v>1765000</v>
      </c>
      <c r="M39" s="858">
        <f t="shared" si="5"/>
        <v>1765000</v>
      </c>
      <c r="N39" s="862"/>
      <c r="O39" s="865">
        <f>16500000</f>
        <v>16500000</v>
      </c>
      <c r="P39" s="858">
        <f>M39-(N39+O39)</f>
        <v>-14735000</v>
      </c>
    </row>
    <row r="40" spans="4:16" ht="18" x14ac:dyDescent="0.25">
      <c r="D40" s="855">
        <v>13</v>
      </c>
      <c r="E40" s="869">
        <v>44136</v>
      </c>
      <c r="F40" s="870">
        <v>44165</v>
      </c>
      <c r="G40" s="861">
        <f>G39-N40</f>
        <v>1059000000</v>
      </c>
      <c r="H40" s="876">
        <v>0.02</v>
      </c>
      <c r="I40" s="873">
        <v>30</v>
      </c>
      <c r="J40" s="867">
        <v>360</v>
      </c>
      <c r="K40" s="862"/>
      <c r="L40" s="858">
        <f t="shared" si="7"/>
        <v>1765000</v>
      </c>
      <c r="M40" s="858">
        <f>K40+L40</f>
        <v>1765000</v>
      </c>
      <c r="N40" s="862"/>
      <c r="O40" s="865">
        <v>3500000</v>
      </c>
      <c r="P40" s="858">
        <f t="shared" si="6"/>
        <v>-1735000</v>
      </c>
    </row>
    <row r="41" spans="4:16" ht="18.75" thickBot="1" x14ac:dyDescent="0.3">
      <c r="D41" s="878">
        <v>14</v>
      </c>
      <c r="E41" s="879">
        <v>44166</v>
      </c>
      <c r="F41" s="880">
        <v>44196</v>
      </c>
      <c r="G41" s="861">
        <f>G40-N41</f>
        <v>1059000000</v>
      </c>
      <c r="H41" s="881">
        <v>0.02</v>
      </c>
      <c r="I41" s="882">
        <v>30</v>
      </c>
      <c r="J41" s="867">
        <v>360</v>
      </c>
      <c r="K41" s="883"/>
      <c r="L41" s="858">
        <f t="shared" si="7"/>
        <v>1765000</v>
      </c>
      <c r="M41" s="858">
        <f>K41+L41</f>
        <v>1765000</v>
      </c>
      <c r="N41" s="883"/>
      <c r="O41" s="884">
        <v>1468983.33</v>
      </c>
      <c r="P41" s="858">
        <f t="shared" si="6"/>
        <v>296016.66999999993</v>
      </c>
    </row>
    <row r="42" spans="4:16" ht="18.75" thickBot="1" x14ac:dyDescent="0.3">
      <c r="D42" s="363"/>
      <c r="E42" s="329"/>
      <c r="F42" s="330"/>
      <c r="G42" s="122" t="s">
        <v>91</v>
      </c>
      <c r="H42" s="123" t="s">
        <v>91</v>
      </c>
      <c r="I42" s="124">
        <f>SUM(I27:I41)</f>
        <v>360</v>
      </c>
      <c r="J42" s="125"/>
      <c r="K42" s="127">
        <f>SUM(K27:K41)</f>
        <v>106000000</v>
      </c>
      <c r="L42" s="126">
        <f>SUM(L27:L41)</f>
        <v>21468983.333333336</v>
      </c>
      <c r="M42" s="126">
        <f>SUM(M27:M41)</f>
        <v>127468983.33333334</v>
      </c>
      <c r="N42" s="127">
        <f>SUM(N27:N41)</f>
        <v>106000000</v>
      </c>
      <c r="O42" s="126">
        <f>SUM(O27:O41)</f>
        <v>21468983.329999998</v>
      </c>
      <c r="P42" s="126">
        <f>SUM(P27:P41)-O36-O37-O38</f>
        <v>3.3333264291286469E-3</v>
      </c>
    </row>
    <row r="43" spans="4:16" x14ac:dyDescent="0.25">
      <c r="D43" s="59"/>
      <c r="E43" s="59"/>
      <c r="F43" s="59"/>
      <c r="G43" s="59"/>
      <c r="H43" s="59"/>
      <c r="I43" s="59"/>
      <c r="J43" s="59"/>
      <c r="K43" s="59"/>
      <c r="L43" s="59"/>
    </row>
    <row r="44" spans="4:16" ht="18" x14ac:dyDescent="0.25">
      <c r="G44" s="210" t="s">
        <v>29</v>
      </c>
      <c r="H44" s="885">
        <v>87379</v>
      </c>
      <c r="I44" s="9" t="s">
        <v>32</v>
      </c>
      <c r="J44" s="6"/>
      <c r="K44" s="6"/>
      <c r="L44" s="10"/>
      <c r="M44" s="10"/>
      <c r="N44" s="6"/>
      <c r="O44" s="6"/>
      <c r="P44" s="6"/>
    </row>
    <row r="45" spans="4:16" ht="20.25" x14ac:dyDescent="0.25">
      <c r="G45" s="9" t="s">
        <v>117</v>
      </c>
      <c r="H45" s="4"/>
      <c r="I45" s="15"/>
      <c r="J45" s="6"/>
      <c r="K45" s="6"/>
      <c r="L45" s="23"/>
      <c r="M45" s="323">
        <f>(1059000/H44)/1000</f>
        <v>1.2119616841575207E-2</v>
      </c>
      <c r="N45" s="208"/>
      <c r="O45" s="208"/>
      <c r="P45" s="27"/>
    </row>
    <row r="46" spans="4:16" ht="19.5" customHeight="1" x14ac:dyDescent="0.3">
      <c r="G46" s="9"/>
      <c r="I46" s="31"/>
      <c r="J46" s="31"/>
      <c r="K46" s="31"/>
      <c r="L46" s="31"/>
      <c r="M46" s="383"/>
      <c r="N46" s="31"/>
      <c r="O46" s="31"/>
      <c r="P46" s="27"/>
    </row>
    <row r="52" spans="2:16" ht="22.5" customHeight="1" x14ac:dyDescent="0.25">
      <c r="C52" s="772"/>
      <c r="D52" s="1230" t="s">
        <v>119</v>
      </c>
      <c r="E52" s="1230"/>
      <c r="F52" s="1230"/>
      <c r="G52" s="1230"/>
      <c r="H52" s="1230"/>
      <c r="I52" s="1230"/>
      <c r="J52" s="1230"/>
      <c r="K52" s="1230"/>
      <c r="L52" s="1230"/>
      <c r="M52" s="1230"/>
      <c r="N52" s="1230"/>
      <c r="O52" s="1230"/>
      <c r="P52" s="1230"/>
    </row>
    <row r="53" spans="2:16" ht="22.5" customHeight="1" x14ac:dyDescent="0.25">
      <c r="C53" s="772"/>
      <c r="D53" s="1230" t="s">
        <v>167</v>
      </c>
      <c r="E53" s="1230"/>
      <c r="F53" s="1230"/>
      <c r="G53" s="1230"/>
      <c r="H53" s="1230"/>
      <c r="I53" s="1230"/>
      <c r="J53" s="1230"/>
      <c r="K53" s="1230"/>
      <c r="L53" s="1230"/>
      <c r="M53" s="1230"/>
      <c r="N53" s="1230"/>
      <c r="O53" s="1230"/>
      <c r="P53" s="1230"/>
    </row>
    <row r="54" spans="2:16" ht="22.5" customHeight="1" x14ac:dyDescent="0.25">
      <c r="C54" s="772"/>
      <c r="D54" s="1230" t="s">
        <v>249</v>
      </c>
      <c r="E54" s="1230"/>
      <c r="F54" s="1230"/>
      <c r="G54" s="1230"/>
      <c r="H54" s="1230"/>
      <c r="I54" s="1230"/>
      <c r="J54" s="1230"/>
      <c r="K54" s="1230"/>
      <c r="L54" s="1230"/>
      <c r="M54" s="1230"/>
      <c r="N54" s="1230"/>
      <c r="O54" s="1230"/>
      <c r="P54" s="1230"/>
    </row>
    <row r="55" spans="2:16" ht="18.75" customHeight="1" thickBot="1" x14ac:dyDescent="0.3">
      <c r="C55" s="773"/>
      <c r="D55" s="774"/>
      <c r="E55" s="774"/>
      <c r="F55" s="774"/>
      <c r="G55" s="774"/>
      <c r="H55" s="774"/>
      <c r="I55" s="774"/>
      <c r="J55" s="774"/>
      <c r="K55" s="774"/>
      <c r="L55" s="774"/>
      <c r="M55" s="774"/>
      <c r="N55" s="774"/>
      <c r="O55" s="774"/>
      <c r="P55" s="773" t="s">
        <v>49</v>
      </c>
    </row>
    <row r="56" spans="2:16" ht="33.75" customHeight="1" thickBot="1" x14ac:dyDescent="0.3">
      <c r="B56" s="36"/>
      <c r="C56" s="36"/>
      <c r="D56" s="1219" t="s">
        <v>28</v>
      </c>
      <c r="E56" s="1224" t="s">
        <v>85</v>
      </c>
      <c r="F56" s="1225"/>
      <c r="G56" s="1219" t="s">
        <v>86</v>
      </c>
      <c r="H56" s="1198" t="s">
        <v>40</v>
      </c>
      <c r="I56" s="1198" t="s">
        <v>93</v>
      </c>
      <c r="J56" s="1198" t="s">
        <v>87</v>
      </c>
      <c r="K56" s="1221" t="s">
        <v>288</v>
      </c>
      <c r="L56" s="1222"/>
      <c r="M56" s="1223"/>
      <c r="N56" s="1198" t="s">
        <v>30</v>
      </c>
      <c r="O56" s="1198" t="s">
        <v>185</v>
      </c>
      <c r="P56" s="1198" t="s">
        <v>289</v>
      </c>
    </row>
    <row r="57" spans="2:16" ht="62.25" customHeight="1" thickBot="1" x14ac:dyDescent="0.3">
      <c r="D57" s="1220"/>
      <c r="E57" s="1226"/>
      <c r="F57" s="1227"/>
      <c r="G57" s="1228"/>
      <c r="H57" s="1199"/>
      <c r="I57" s="1199"/>
      <c r="J57" s="1199"/>
      <c r="K57" s="61" t="s">
        <v>144</v>
      </c>
      <c r="L57" s="933" t="s">
        <v>131</v>
      </c>
      <c r="M57" s="932" t="s">
        <v>90</v>
      </c>
      <c r="N57" s="1199"/>
      <c r="O57" s="1199"/>
      <c r="P57" s="1199"/>
    </row>
    <row r="58" spans="2:16" ht="18" x14ac:dyDescent="0.25">
      <c r="D58" s="938">
        <v>1</v>
      </c>
      <c r="E58" s="939">
        <v>44562</v>
      </c>
      <c r="F58" s="940">
        <v>44592</v>
      </c>
      <c r="G58" s="941">
        <v>953000000</v>
      </c>
      <c r="H58" s="942">
        <v>0.02</v>
      </c>
      <c r="I58" s="943">
        <v>30</v>
      </c>
      <c r="J58" s="944">
        <v>360</v>
      </c>
      <c r="K58" s="769">
        <v>0</v>
      </c>
      <c r="L58" s="945">
        <f t="shared" ref="L58:L67" si="8">G58*H58*I58/J58</f>
        <v>1588333.3333333333</v>
      </c>
      <c r="M58" s="941">
        <f>K58+L58</f>
        <v>1588333.3333333333</v>
      </c>
      <c r="N58" s="768">
        <v>0</v>
      </c>
      <c r="O58" s="462">
        <v>0</v>
      </c>
      <c r="P58" s="460">
        <f>+M58-N58-O58</f>
        <v>1588333.3333333333</v>
      </c>
    </row>
    <row r="59" spans="2:16" ht="18.75" thickBot="1" x14ac:dyDescent="0.3">
      <c r="D59" s="946">
        <v>2</v>
      </c>
      <c r="E59" s="466">
        <v>44593</v>
      </c>
      <c r="F59" s="947">
        <v>44620</v>
      </c>
      <c r="G59" s="948">
        <f>G58-O59</f>
        <v>953000000</v>
      </c>
      <c r="H59" s="949">
        <v>0.02</v>
      </c>
      <c r="I59" s="950">
        <v>30</v>
      </c>
      <c r="J59" s="951">
        <v>360</v>
      </c>
      <c r="K59" s="770">
        <v>0</v>
      </c>
      <c r="L59" s="952">
        <f t="shared" si="8"/>
        <v>1588333.3333333333</v>
      </c>
      <c r="M59" s="948">
        <f>K59+L59</f>
        <v>1588333.3333333333</v>
      </c>
      <c r="N59" s="771">
        <v>0</v>
      </c>
      <c r="O59" s="464">
        <v>0</v>
      </c>
      <c r="P59" s="460">
        <f t="shared" ref="P59:P69" si="9">+M59-N59-O59</f>
        <v>1588333.3333333333</v>
      </c>
    </row>
    <row r="60" spans="2:16" ht="18.75" thickBot="1" x14ac:dyDescent="0.3">
      <c r="D60" s="953">
        <v>3</v>
      </c>
      <c r="E60" s="954">
        <v>44621</v>
      </c>
      <c r="F60" s="955">
        <v>44651</v>
      </c>
      <c r="G60" s="956">
        <f>G59-K60</f>
        <v>918000000</v>
      </c>
      <c r="H60" s="957">
        <v>0.02</v>
      </c>
      <c r="I60" s="958">
        <v>30</v>
      </c>
      <c r="J60" s="959">
        <v>360</v>
      </c>
      <c r="K60" s="960">
        <v>35000000</v>
      </c>
      <c r="L60" s="961">
        <f t="shared" si="8"/>
        <v>1530000</v>
      </c>
      <c r="M60" s="962">
        <f>K60+L60</f>
        <v>36530000</v>
      </c>
      <c r="N60" s="963">
        <f>+K60</f>
        <v>35000000</v>
      </c>
      <c r="O60" s="964">
        <v>0</v>
      </c>
      <c r="P60" s="965">
        <f>+M60-N60-O60</f>
        <v>1530000</v>
      </c>
    </row>
    <row r="61" spans="2:16" ht="18.75" thickBot="1" x14ac:dyDescent="0.3">
      <c r="D61" s="946">
        <v>4</v>
      </c>
      <c r="E61" s="939">
        <v>44652</v>
      </c>
      <c r="F61" s="940">
        <v>44681</v>
      </c>
      <c r="G61" s="966">
        <f>G60-O60</f>
        <v>918000000</v>
      </c>
      <c r="H61" s="967">
        <v>0.02</v>
      </c>
      <c r="I61" s="950">
        <v>30</v>
      </c>
      <c r="J61" s="968">
        <v>360</v>
      </c>
      <c r="K61" s="969">
        <v>0</v>
      </c>
      <c r="L61" s="952">
        <f t="shared" si="8"/>
        <v>1530000</v>
      </c>
      <c r="M61" s="948">
        <f t="shared" ref="M61:M64" si="10">K61+L61</f>
        <v>1530000</v>
      </c>
      <c r="N61" s="771">
        <v>0</v>
      </c>
      <c r="O61" s="464">
        <v>0</v>
      </c>
      <c r="P61" s="460">
        <f t="shared" si="9"/>
        <v>1530000</v>
      </c>
    </row>
    <row r="62" spans="2:16" ht="18.75" thickBot="1" x14ac:dyDescent="0.3">
      <c r="D62" s="938">
        <v>5</v>
      </c>
      <c r="E62" s="466">
        <v>44682</v>
      </c>
      <c r="F62" s="947">
        <v>44712</v>
      </c>
      <c r="G62" s="966">
        <f t="shared" ref="G62" si="11">G61</f>
        <v>918000000</v>
      </c>
      <c r="H62" s="967">
        <v>0.02</v>
      </c>
      <c r="I62" s="950">
        <v>30</v>
      </c>
      <c r="J62" s="968">
        <v>360</v>
      </c>
      <c r="K62" s="969">
        <v>0</v>
      </c>
      <c r="L62" s="952">
        <f t="shared" si="8"/>
        <v>1530000</v>
      </c>
      <c r="M62" s="948">
        <f t="shared" si="10"/>
        <v>1530000</v>
      </c>
      <c r="N62" s="771">
        <v>0</v>
      </c>
      <c r="O62" s="464">
        <v>0</v>
      </c>
      <c r="P62" s="460">
        <f t="shared" si="9"/>
        <v>1530000</v>
      </c>
    </row>
    <row r="63" spans="2:16" ht="18.75" thickBot="1" x14ac:dyDescent="0.3">
      <c r="D63" s="970">
        <v>6</v>
      </c>
      <c r="E63" s="954">
        <v>44713</v>
      </c>
      <c r="F63" s="955">
        <v>44742</v>
      </c>
      <c r="G63" s="956">
        <f>G62-K63</f>
        <v>882000000</v>
      </c>
      <c r="H63" s="957">
        <v>0.02</v>
      </c>
      <c r="I63" s="971">
        <v>30</v>
      </c>
      <c r="J63" s="959">
        <v>360</v>
      </c>
      <c r="K63" s="960">
        <v>36000000</v>
      </c>
      <c r="L63" s="961">
        <f t="shared" si="8"/>
        <v>1470000</v>
      </c>
      <c r="M63" s="962">
        <f t="shared" si="10"/>
        <v>37470000</v>
      </c>
      <c r="N63" s="963">
        <f>+K63</f>
        <v>36000000</v>
      </c>
      <c r="O63" s="964">
        <v>0</v>
      </c>
      <c r="P63" s="965">
        <f t="shared" si="9"/>
        <v>1470000</v>
      </c>
    </row>
    <row r="64" spans="2:16" ht="18" x14ac:dyDescent="0.25">
      <c r="D64" s="938">
        <v>7</v>
      </c>
      <c r="E64" s="939">
        <v>44743</v>
      </c>
      <c r="F64" s="940">
        <v>44773</v>
      </c>
      <c r="G64" s="966">
        <f>G63-O63</f>
        <v>882000000</v>
      </c>
      <c r="H64" s="949">
        <v>0.02</v>
      </c>
      <c r="I64" s="950">
        <v>30</v>
      </c>
      <c r="J64" s="968">
        <v>360</v>
      </c>
      <c r="K64" s="972">
        <v>0</v>
      </c>
      <c r="L64" s="952">
        <f t="shared" si="8"/>
        <v>1470000</v>
      </c>
      <c r="M64" s="948">
        <f t="shared" si="10"/>
        <v>1470000</v>
      </c>
      <c r="N64" s="771">
        <v>0</v>
      </c>
      <c r="O64" s="464">
        <v>0</v>
      </c>
      <c r="P64" s="460">
        <f t="shared" si="9"/>
        <v>1470000</v>
      </c>
    </row>
    <row r="65" spans="4:16" ht="18.75" thickBot="1" x14ac:dyDescent="0.3">
      <c r="D65" s="946">
        <v>8</v>
      </c>
      <c r="E65" s="466">
        <v>44774</v>
      </c>
      <c r="F65" s="947">
        <v>44804</v>
      </c>
      <c r="G65" s="966">
        <f>G64</f>
        <v>882000000</v>
      </c>
      <c r="H65" s="967">
        <v>0.02</v>
      </c>
      <c r="I65" s="950">
        <v>30</v>
      </c>
      <c r="J65" s="968">
        <v>360</v>
      </c>
      <c r="K65" s="969">
        <v>0</v>
      </c>
      <c r="L65" s="952">
        <f t="shared" si="8"/>
        <v>1470000</v>
      </c>
      <c r="M65" s="948">
        <f>K65+L65</f>
        <v>1470000</v>
      </c>
      <c r="N65" s="771">
        <v>0</v>
      </c>
      <c r="O65" s="464">
        <v>0</v>
      </c>
      <c r="P65" s="460">
        <f t="shared" si="9"/>
        <v>1470000</v>
      </c>
    </row>
    <row r="66" spans="4:16" ht="18.75" thickBot="1" x14ac:dyDescent="0.3">
      <c r="D66" s="953">
        <v>9</v>
      </c>
      <c r="E66" s="954">
        <v>44805</v>
      </c>
      <c r="F66" s="955">
        <v>44834</v>
      </c>
      <c r="G66" s="956">
        <f>G65-K66</f>
        <v>857000000</v>
      </c>
      <c r="H66" s="957">
        <v>0.02</v>
      </c>
      <c r="I66" s="958">
        <v>30</v>
      </c>
      <c r="J66" s="959">
        <v>360</v>
      </c>
      <c r="K66" s="960">
        <v>25000000</v>
      </c>
      <c r="L66" s="961">
        <f t="shared" si="8"/>
        <v>1428333.3333333333</v>
      </c>
      <c r="M66" s="962">
        <f>K66+L66</f>
        <v>26428333.333333332</v>
      </c>
      <c r="N66" s="963">
        <f>+K66</f>
        <v>25000000</v>
      </c>
      <c r="O66" s="964">
        <v>0</v>
      </c>
      <c r="P66" s="965">
        <f t="shared" si="9"/>
        <v>1428333.3333333321</v>
      </c>
    </row>
    <row r="67" spans="4:16" ht="18.75" thickBot="1" x14ac:dyDescent="0.3">
      <c r="D67" s="946">
        <v>10</v>
      </c>
      <c r="E67" s="939">
        <v>44835</v>
      </c>
      <c r="F67" s="940">
        <v>44865</v>
      </c>
      <c r="G67" s="966">
        <f>G66-K67</f>
        <v>857000000</v>
      </c>
      <c r="H67" s="967">
        <v>0.02</v>
      </c>
      <c r="I67" s="973">
        <v>30</v>
      </c>
      <c r="J67" s="968">
        <v>360</v>
      </c>
      <c r="K67" s="969"/>
      <c r="L67" s="952">
        <f t="shared" si="8"/>
        <v>1428333.3333333333</v>
      </c>
      <c r="M67" s="948">
        <f>K67+L67</f>
        <v>1428333.3333333333</v>
      </c>
      <c r="N67" s="974">
        <v>0</v>
      </c>
      <c r="O67" s="975">
        <v>0</v>
      </c>
      <c r="P67" s="460">
        <f t="shared" si="9"/>
        <v>1428333.3333333333</v>
      </c>
    </row>
    <row r="68" spans="4:16" ht="18.75" thickBot="1" x14ac:dyDescent="0.3">
      <c r="D68" s="953">
        <v>11</v>
      </c>
      <c r="E68" s="976">
        <v>44866</v>
      </c>
      <c r="F68" s="977">
        <v>44895</v>
      </c>
      <c r="G68" s="956">
        <f>G67-K68</f>
        <v>847000000</v>
      </c>
      <c r="H68" s="957">
        <v>0.02</v>
      </c>
      <c r="I68" s="971">
        <v>30</v>
      </c>
      <c r="J68" s="959">
        <v>360</v>
      </c>
      <c r="K68" s="960">
        <v>10000000</v>
      </c>
      <c r="L68" s="961">
        <f>G68*H68*I68/J68</f>
        <v>1411666.6666666667</v>
      </c>
      <c r="M68" s="962">
        <f t="shared" ref="M68:M69" si="12">K68+L68</f>
        <v>11411666.666666666</v>
      </c>
      <c r="N68" s="963">
        <f>+K68</f>
        <v>10000000</v>
      </c>
      <c r="O68" s="978">
        <v>0</v>
      </c>
      <c r="P68" s="965">
        <f t="shared" si="9"/>
        <v>1411666.666666666</v>
      </c>
    </row>
    <row r="69" spans="4:16" ht="18.75" thickBot="1" x14ac:dyDescent="0.3">
      <c r="D69" s="946">
        <v>12</v>
      </c>
      <c r="E69" s="939">
        <v>44896</v>
      </c>
      <c r="F69" s="940">
        <v>44926</v>
      </c>
      <c r="G69" s="966">
        <f>G68-K69</f>
        <v>847000000</v>
      </c>
      <c r="H69" s="967">
        <v>0.02</v>
      </c>
      <c r="I69" s="950">
        <v>30</v>
      </c>
      <c r="J69" s="968">
        <v>360</v>
      </c>
      <c r="K69" s="969"/>
      <c r="L69" s="952">
        <f>G69*H69*I69/J69</f>
        <v>1411666.6666666667</v>
      </c>
      <c r="M69" s="948">
        <f t="shared" si="12"/>
        <v>1411666.6666666667</v>
      </c>
      <c r="N69" s="974">
        <v>0</v>
      </c>
      <c r="O69" s="975">
        <v>0</v>
      </c>
      <c r="P69" s="460">
        <f t="shared" si="9"/>
        <v>1411666.6666666667</v>
      </c>
    </row>
    <row r="70" spans="4:16" ht="18.75" thickBot="1" x14ac:dyDescent="0.3">
      <c r="D70" s="1248" t="s">
        <v>290</v>
      </c>
      <c r="E70" s="1249"/>
      <c r="F70" s="1250"/>
      <c r="G70" s="979" t="s">
        <v>91</v>
      </c>
      <c r="H70" s="766" t="s">
        <v>91</v>
      </c>
      <c r="I70" s="980">
        <f>SUM(I58:I69)</f>
        <v>360</v>
      </c>
      <c r="J70" s="981"/>
      <c r="K70" s="982">
        <f t="shared" ref="K70:P70" si="13">SUM(K58:K69)</f>
        <v>106000000</v>
      </c>
      <c r="L70" s="983">
        <f t="shared" si="13"/>
        <v>17856666.666666668</v>
      </c>
      <c r="M70" s="982">
        <f t="shared" si="13"/>
        <v>123856666.66666666</v>
      </c>
      <c r="N70" s="984">
        <f t="shared" si="13"/>
        <v>106000000</v>
      </c>
      <c r="O70" s="985">
        <f t="shared" si="13"/>
        <v>0</v>
      </c>
      <c r="P70" s="986">
        <f t="shared" si="13"/>
        <v>17856666.666666664</v>
      </c>
    </row>
    <row r="71" spans="4:16" x14ac:dyDescent="0.25">
      <c r="D71" s="59"/>
      <c r="E71" s="59"/>
      <c r="F71" s="59"/>
      <c r="G71" s="59"/>
      <c r="H71" s="59"/>
      <c r="I71" s="59"/>
      <c r="J71" s="59"/>
      <c r="K71" s="59"/>
      <c r="L71" s="59"/>
      <c r="P71" s="58" t="e">
        <f>SUM(#REF!)</f>
        <v>#REF!</v>
      </c>
    </row>
    <row r="72" spans="4:16" ht="18" x14ac:dyDescent="0.25">
      <c r="G72" s="210" t="s">
        <v>29</v>
      </c>
      <c r="H72" s="26"/>
      <c r="I72" s="9"/>
      <c r="J72" s="6"/>
      <c r="K72" s="1163">
        <v>103984</v>
      </c>
      <c r="L72" s="1164"/>
      <c r="M72" s="10"/>
      <c r="N72" s="6"/>
      <c r="O72" s="6"/>
      <c r="P72" s="6"/>
    </row>
    <row r="73" spans="4:16" ht="20.25" x14ac:dyDescent="0.25">
      <c r="G73" s="9" t="s">
        <v>117</v>
      </c>
      <c r="H73" s="4"/>
      <c r="I73" s="15"/>
      <c r="J73" s="6"/>
      <c r="K73" s="6"/>
      <c r="L73" s="23"/>
      <c r="M73" s="323">
        <f>(953000/K72)/1000</f>
        <v>9.1648715186951838E-3</v>
      </c>
      <c r="N73" s="208"/>
      <c r="O73" s="208"/>
      <c r="P73" s="27"/>
    </row>
    <row r="74" spans="4:16" ht="22.5" x14ac:dyDescent="0.3">
      <c r="G74" s="9" t="s">
        <v>118</v>
      </c>
      <c r="I74" s="31"/>
      <c r="J74" s="31"/>
      <c r="K74" s="31"/>
      <c r="L74" s="31"/>
      <c r="M74" s="323">
        <f>(953000*100%)/'Ба Вазир 01-04-22'!L18</f>
        <v>0.19085486044215372</v>
      </c>
      <c r="O74" s="31"/>
      <c r="P74" s="27"/>
    </row>
    <row r="75" spans="4:16" ht="22.5" x14ac:dyDescent="0.3">
      <c r="G75" s="9"/>
      <c r="I75" s="31"/>
      <c r="J75" s="31"/>
      <c r="K75" s="31"/>
      <c r="L75" s="31"/>
      <c r="M75" s="323"/>
      <c r="O75" s="31"/>
      <c r="P75" s="27"/>
    </row>
    <row r="76" spans="4:16" ht="22.5" x14ac:dyDescent="0.3">
      <c r="G76" s="9"/>
      <c r="I76" s="31"/>
      <c r="J76" s="31"/>
      <c r="K76" s="31"/>
      <c r="L76" s="31"/>
      <c r="M76" s="323"/>
      <c r="O76" s="31"/>
      <c r="P76" s="27"/>
    </row>
    <row r="77" spans="4:16" ht="22.5" customHeight="1" x14ac:dyDescent="0.25">
      <c r="D77" s="1230" t="s">
        <v>283</v>
      </c>
      <c r="E77" s="1230"/>
      <c r="F77" s="1230"/>
      <c r="G77" s="1230"/>
      <c r="H77" s="1230"/>
      <c r="I77" s="1230"/>
      <c r="J77" s="1230"/>
      <c r="K77" s="1230"/>
      <c r="L77" s="1230"/>
      <c r="M77" s="1230"/>
      <c r="N77" s="1230"/>
      <c r="O77" s="1230"/>
      <c r="P77" s="1230"/>
    </row>
    <row r="78" spans="4:16" ht="22.5" customHeight="1" x14ac:dyDescent="0.25">
      <c r="D78" s="1230"/>
      <c r="E78" s="1230"/>
      <c r="F78" s="1230"/>
      <c r="G78" s="1230"/>
      <c r="H78" s="1230"/>
      <c r="I78" s="1230"/>
      <c r="J78" s="1230"/>
      <c r="K78" s="1230"/>
      <c r="L78" s="1230"/>
      <c r="M78" s="1230"/>
      <c r="N78" s="1230"/>
      <c r="O78" s="1230"/>
      <c r="P78" s="1230"/>
    </row>
    <row r="79" spans="4:16" ht="22.5" customHeight="1" x14ac:dyDescent="0.25">
      <c r="D79" s="1230"/>
      <c r="E79" s="1230"/>
      <c r="F79" s="1230"/>
      <c r="G79" s="1230"/>
      <c r="H79" s="1230"/>
      <c r="I79" s="1230"/>
      <c r="J79" s="1230"/>
      <c r="K79" s="1230"/>
      <c r="L79" s="1230"/>
      <c r="M79" s="1230"/>
      <c r="N79" s="1230"/>
      <c r="O79" s="1230"/>
      <c r="P79" s="1230"/>
    </row>
    <row r="80" spans="4:16" ht="22.5" customHeight="1" thickBot="1" x14ac:dyDescent="0.35">
      <c r="D80" s="886"/>
      <c r="E80" s="886"/>
      <c r="F80" s="886"/>
      <c r="G80" s="886"/>
      <c r="H80" s="886"/>
      <c r="I80" s="886"/>
      <c r="J80" s="886"/>
      <c r="K80" s="886"/>
      <c r="L80" s="886"/>
      <c r="M80" s="886"/>
      <c r="N80" s="886"/>
      <c r="O80" s="886"/>
      <c r="P80" s="773" t="s">
        <v>49</v>
      </c>
    </row>
    <row r="81" spans="4:17" ht="43.5" customHeight="1" thickBot="1" x14ac:dyDescent="0.3">
      <c r="D81" s="1219" t="s">
        <v>28</v>
      </c>
      <c r="E81" s="1224" t="s">
        <v>85</v>
      </c>
      <c r="F81" s="1225"/>
      <c r="G81" s="1219" t="s">
        <v>86</v>
      </c>
      <c r="H81" s="1198" t="s">
        <v>40</v>
      </c>
      <c r="I81" s="1198" t="s">
        <v>93</v>
      </c>
      <c r="J81" s="1198" t="s">
        <v>87</v>
      </c>
      <c r="K81" s="1221" t="s">
        <v>288</v>
      </c>
      <c r="L81" s="1222"/>
      <c r="M81" s="1223"/>
      <c r="N81" s="1198" t="s">
        <v>30</v>
      </c>
      <c r="O81" s="1198" t="s">
        <v>185</v>
      </c>
      <c r="P81" s="1198" t="s">
        <v>289</v>
      </c>
    </row>
    <row r="82" spans="4:17" ht="56.25" customHeight="1" thickBot="1" x14ac:dyDescent="0.3">
      <c r="D82" s="1220"/>
      <c r="E82" s="1226"/>
      <c r="F82" s="1227"/>
      <c r="G82" s="1228"/>
      <c r="H82" s="1199"/>
      <c r="I82" s="1199"/>
      <c r="J82" s="1199"/>
      <c r="K82" s="61" t="s">
        <v>144</v>
      </c>
      <c r="L82" s="933" t="s">
        <v>131</v>
      </c>
      <c r="M82" s="932" t="s">
        <v>90</v>
      </c>
      <c r="N82" s="1199"/>
      <c r="O82" s="1199"/>
      <c r="P82" s="1199"/>
    </row>
    <row r="83" spans="4:17" ht="18" x14ac:dyDescent="0.25">
      <c r="D83" s="938">
        <v>1</v>
      </c>
      <c r="E83" s="939">
        <v>44562</v>
      </c>
      <c r="F83" s="940">
        <v>44592</v>
      </c>
      <c r="G83" s="941">
        <v>953000000</v>
      </c>
      <c r="H83" s="942">
        <v>0.02</v>
      </c>
      <c r="I83" s="943">
        <v>30</v>
      </c>
      <c r="J83" s="944">
        <v>360</v>
      </c>
      <c r="K83" s="769">
        <v>0</v>
      </c>
      <c r="L83" s="945">
        <f t="shared" ref="L83:L97" si="14">G83*H83*I83/J83</f>
        <v>1588333.3333333333</v>
      </c>
      <c r="M83" s="941">
        <f>K83+L83</f>
        <v>1588333.3333333333</v>
      </c>
      <c r="N83" s="768">
        <v>0</v>
      </c>
      <c r="O83" s="462">
        <v>0</v>
      </c>
      <c r="P83" s="460">
        <f>+M83-N83-O83</f>
        <v>1588333.3333333333</v>
      </c>
      <c r="Q83" s="58"/>
    </row>
    <row r="84" spans="4:17" ht="18.75" thickBot="1" x14ac:dyDescent="0.3">
      <c r="D84" s="946">
        <v>2</v>
      </c>
      <c r="E84" s="466">
        <v>44593</v>
      </c>
      <c r="F84" s="947">
        <v>44620</v>
      </c>
      <c r="G84" s="948">
        <f>G83-N84</f>
        <v>953000000</v>
      </c>
      <c r="H84" s="949">
        <v>0.02</v>
      </c>
      <c r="I84" s="950">
        <v>30</v>
      </c>
      <c r="J84" s="951">
        <v>360</v>
      </c>
      <c r="K84" s="770">
        <v>0</v>
      </c>
      <c r="L84" s="952">
        <f t="shared" si="14"/>
        <v>1588333.3333333333</v>
      </c>
      <c r="M84" s="948">
        <f>K84+L84</f>
        <v>1588333.3333333333</v>
      </c>
      <c r="N84" s="771">
        <v>0</v>
      </c>
      <c r="O84" s="464">
        <v>0</v>
      </c>
      <c r="P84" s="460">
        <f t="shared" ref="P84:P99" si="15">+M84-N84-O84</f>
        <v>1588333.3333333333</v>
      </c>
      <c r="Q84" s="58"/>
    </row>
    <row r="85" spans="4:17" ht="18.75" thickBot="1" x14ac:dyDescent="0.3">
      <c r="D85" s="1011">
        <v>3</v>
      </c>
      <c r="E85" s="954">
        <v>44621</v>
      </c>
      <c r="F85" s="955">
        <v>44647</v>
      </c>
      <c r="G85" s="956">
        <f>G84-N85</f>
        <v>953000000</v>
      </c>
      <c r="H85" s="957">
        <v>0.02</v>
      </c>
      <c r="I85" s="958">
        <v>26</v>
      </c>
      <c r="J85" s="959">
        <v>360</v>
      </c>
      <c r="K85" s="960"/>
      <c r="L85" s="961">
        <f>G85*H85*I85/J85</f>
        <v>1376555.5555555555</v>
      </c>
      <c r="M85" s="962">
        <f>K85+L85</f>
        <v>1376555.5555555555</v>
      </c>
      <c r="N85" s="963">
        <f>+K85</f>
        <v>0</v>
      </c>
      <c r="O85" s="964">
        <v>0</v>
      </c>
      <c r="P85" s="965">
        <f>+M85-N85-O85</f>
        <v>1376555.5555555555</v>
      </c>
    </row>
    <row r="86" spans="4:17" ht="18.75" thickBot="1" x14ac:dyDescent="0.3">
      <c r="D86" s="1012"/>
      <c r="E86" s="954">
        <v>44648</v>
      </c>
      <c r="F86" s="955">
        <v>44648</v>
      </c>
      <c r="G86" s="956">
        <f t="shared" ref="G86:G90" si="16">G85-N86</f>
        <v>946000000</v>
      </c>
      <c r="H86" s="957">
        <v>0.02</v>
      </c>
      <c r="I86" s="958">
        <v>1</v>
      </c>
      <c r="J86" s="959">
        <v>360</v>
      </c>
      <c r="K86" s="960"/>
      <c r="L86" s="961">
        <f t="shared" ref="L86" si="17">G86*H86*I86/J86</f>
        <v>52555.555555555555</v>
      </c>
      <c r="M86" s="962">
        <f t="shared" ref="M86:M94" si="18">K86+L86</f>
        <v>52555.555555555555</v>
      </c>
      <c r="N86" s="963">
        <v>7000000</v>
      </c>
      <c r="O86" s="964"/>
      <c r="P86" s="965">
        <f t="shared" ref="P86:P90" si="19">+M86-N86-O86</f>
        <v>-6947444.444444444</v>
      </c>
    </row>
    <row r="87" spans="4:17" ht="18.75" thickBot="1" x14ac:dyDescent="0.3">
      <c r="D87" s="1013"/>
      <c r="E87" s="954">
        <v>44649</v>
      </c>
      <c r="F87" s="955">
        <v>44649</v>
      </c>
      <c r="G87" s="956">
        <f t="shared" si="16"/>
        <v>939000000</v>
      </c>
      <c r="H87" s="957">
        <v>0.02</v>
      </c>
      <c r="I87" s="958">
        <v>1</v>
      </c>
      <c r="J87" s="959">
        <v>360</v>
      </c>
      <c r="K87" s="960"/>
      <c r="L87" s="961">
        <f>G87*H87*I87/J87</f>
        <v>52166.666666666664</v>
      </c>
      <c r="M87" s="962">
        <f t="shared" si="18"/>
        <v>52166.666666666664</v>
      </c>
      <c r="N87" s="963">
        <v>7000000</v>
      </c>
      <c r="O87" s="964"/>
      <c r="P87" s="965">
        <f t="shared" si="19"/>
        <v>-6947833.333333333</v>
      </c>
    </row>
    <row r="88" spans="4:17" ht="18.75" thickBot="1" x14ac:dyDescent="0.3">
      <c r="D88" s="1012"/>
      <c r="E88" s="954">
        <v>44650</v>
      </c>
      <c r="F88" s="954">
        <v>44650</v>
      </c>
      <c r="G88" s="956">
        <f t="shared" si="16"/>
        <v>932000000</v>
      </c>
      <c r="H88" s="957">
        <v>0.02</v>
      </c>
      <c r="I88" s="958">
        <v>1</v>
      </c>
      <c r="J88" s="959">
        <v>360</v>
      </c>
      <c r="K88" s="960"/>
      <c r="L88" s="961">
        <f>G88*H88*I88/J88</f>
        <v>51777.777777777781</v>
      </c>
      <c r="M88" s="962">
        <f t="shared" si="18"/>
        <v>51777.777777777781</v>
      </c>
      <c r="N88" s="963">
        <v>7000000</v>
      </c>
      <c r="O88" s="964"/>
      <c r="P88" s="965">
        <f t="shared" si="19"/>
        <v>-6948222.222222222</v>
      </c>
    </row>
    <row r="89" spans="4:17" ht="18.75" thickBot="1" x14ac:dyDescent="0.3">
      <c r="D89" s="1014"/>
      <c r="E89" s="1000">
        <v>44651</v>
      </c>
      <c r="F89" s="1000">
        <v>44651</v>
      </c>
      <c r="G89" s="1001">
        <f t="shared" si="16"/>
        <v>925000000</v>
      </c>
      <c r="H89" s="1002">
        <v>0.02</v>
      </c>
      <c r="I89" s="1003">
        <v>1</v>
      </c>
      <c r="J89" s="1004">
        <v>360</v>
      </c>
      <c r="K89" s="1005">
        <v>35000000</v>
      </c>
      <c r="L89" s="1006">
        <f>G89*H89*I89/J89</f>
        <v>51388.888888888891</v>
      </c>
      <c r="M89" s="1007">
        <f t="shared" si="18"/>
        <v>35051388.888888888</v>
      </c>
      <c r="N89" s="1008">
        <v>7000000</v>
      </c>
      <c r="O89" s="1009"/>
      <c r="P89" s="1010">
        <f t="shared" si="19"/>
        <v>28051388.888888888</v>
      </c>
    </row>
    <row r="90" spans="4:17" ht="18.75" thickBot="1" x14ac:dyDescent="0.3">
      <c r="D90" s="1016"/>
      <c r="E90" s="987">
        <v>44652</v>
      </c>
      <c r="F90" s="987">
        <v>44652</v>
      </c>
      <c r="G90" s="988">
        <f t="shared" si="16"/>
        <v>918000000</v>
      </c>
      <c r="H90" s="989">
        <v>0.02</v>
      </c>
      <c r="I90" s="990">
        <v>1</v>
      </c>
      <c r="J90" s="991">
        <v>360</v>
      </c>
      <c r="K90" s="992"/>
      <c r="L90" s="993">
        <f>G90*H90*I90/J90</f>
        <v>51000</v>
      </c>
      <c r="M90" s="962">
        <f t="shared" si="18"/>
        <v>51000</v>
      </c>
      <c r="N90" s="994">
        <v>7000000</v>
      </c>
      <c r="O90" s="995"/>
      <c r="P90" s="965">
        <f t="shared" si="19"/>
        <v>-6949000</v>
      </c>
    </row>
    <row r="91" spans="4:17" ht="18.75" thickBot="1" x14ac:dyDescent="0.3">
      <c r="D91" s="1015">
        <v>4</v>
      </c>
      <c r="E91" s="939">
        <v>44653</v>
      </c>
      <c r="F91" s="940">
        <v>44681</v>
      </c>
      <c r="G91" s="966">
        <f>G90-N91</f>
        <v>918000000</v>
      </c>
      <c r="H91" s="967">
        <v>0.02</v>
      </c>
      <c r="I91" s="950">
        <v>29</v>
      </c>
      <c r="J91" s="968">
        <v>360</v>
      </c>
      <c r="K91" s="969">
        <v>0</v>
      </c>
      <c r="L91" s="952">
        <f t="shared" si="14"/>
        <v>1479000</v>
      </c>
      <c r="M91" s="948">
        <f t="shared" si="18"/>
        <v>1479000</v>
      </c>
      <c r="N91" s="771">
        <v>0</v>
      </c>
      <c r="O91" s="464">
        <v>0</v>
      </c>
      <c r="P91" s="460">
        <f t="shared" si="15"/>
        <v>1479000</v>
      </c>
    </row>
    <row r="92" spans="4:17" ht="18.75" thickBot="1" x14ac:dyDescent="0.3">
      <c r="D92" s="938">
        <v>5</v>
      </c>
      <c r="E92" s="466">
        <v>44682</v>
      </c>
      <c r="F92" s="947">
        <v>44712</v>
      </c>
      <c r="G92" s="966">
        <f t="shared" ref="G92" si="20">G91</f>
        <v>918000000</v>
      </c>
      <c r="H92" s="967">
        <v>0.02</v>
      </c>
      <c r="I92" s="950">
        <v>30</v>
      </c>
      <c r="J92" s="968">
        <v>360</v>
      </c>
      <c r="K92" s="969">
        <v>0</v>
      </c>
      <c r="L92" s="952">
        <f t="shared" si="14"/>
        <v>1530000</v>
      </c>
      <c r="M92" s="948">
        <f t="shared" si="18"/>
        <v>1530000</v>
      </c>
      <c r="N92" s="771">
        <v>0</v>
      </c>
      <c r="O92" s="464">
        <v>0</v>
      </c>
      <c r="P92" s="460">
        <f t="shared" si="15"/>
        <v>1530000</v>
      </c>
    </row>
    <row r="93" spans="4:17" ht="18.75" thickBot="1" x14ac:dyDescent="0.3">
      <c r="D93" s="970">
        <v>6</v>
      </c>
      <c r="E93" s="954">
        <v>44713</v>
      </c>
      <c r="F93" s="955">
        <v>44742</v>
      </c>
      <c r="G93" s="956">
        <f>G92-K93</f>
        <v>882000000</v>
      </c>
      <c r="H93" s="957">
        <v>0.02</v>
      </c>
      <c r="I93" s="971">
        <v>30</v>
      </c>
      <c r="J93" s="959">
        <v>360</v>
      </c>
      <c r="K93" s="960">
        <v>36000000</v>
      </c>
      <c r="L93" s="961">
        <f t="shared" si="14"/>
        <v>1470000</v>
      </c>
      <c r="M93" s="962">
        <f t="shared" si="18"/>
        <v>37470000</v>
      </c>
      <c r="N93" s="963">
        <f>+K93</f>
        <v>36000000</v>
      </c>
      <c r="O93" s="964">
        <v>0</v>
      </c>
      <c r="P93" s="965">
        <f t="shared" si="15"/>
        <v>1470000</v>
      </c>
    </row>
    <row r="94" spans="4:17" ht="18" x14ac:dyDescent="0.25">
      <c r="D94" s="938">
        <v>7</v>
      </c>
      <c r="E94" s="939">
        <v>44743</v>
      </c>
      <c r="F94" s="940">
        <v>44773</v>
      </c>
      <c r="G94" s="966">
        <f>G93-O93</f>
        <v>882000000</v>
      </c>
      <c r="H94" s="949">
        <v>0.02</v>
      </c>
      <c r="I94" s="950">
        <v>30</v>
      </c>
      <c r="J94" s="968">
        <v>360</v>
      </c>
      <c r="K94" s="972">
        <v>0</v>
      </c>
      <c r="L94" s="952">
        <f t="shared" si="14"/>
        <v>1470000</v>
      </c>
      <c r="M94" s="948">
        <f t="shared" si="18"/>
        <v>1470000</v>
      </c>
      <c r="N94" s="771">
        <v>0</v>
      </c>
      <c r="O94" s="464">
        <v>0</v>
      </c>
      <c r="P94" s="460">
        <f t="shared" si="15"/>
        <v>1470000</v>
      </c>
    </row>
    <row r="95" spans="4:17" ht="18.75" thickBot="1" x14ac:dyDescent="0.3">
      <c r="D95" s="946">
        <v>8</v>
      </c>
      <c r="E95" s="466">
        <v>44774</v>
      </c>
      <c r="F95" s="947">
        <v>44804</v>
      </c>
      <c r="G95" s="966">
        <f>G94</f>
        <v>882000000</v>
      </c>
      <c r="H95" s="967">
        <v>0.02</v>
      </c>
      <c r="I95" s="950">
        <v>30</v>
      </c>
      <c r="J95" s="968">
        <v>360</v>
      </c>
      <c r="K95" s="969">
        <v>0</v>
      </c>
      <c r="L95" s="952">
        <f t="shared" si="14"/>
        <v>1470000</v>
      </c>
      <c r="M95" s="948">
        <f>K95+L95</f>
        <v>1470000</v>
      </c>
      <c r="N95" s="771">
        <v>0</v>
      </c>
      <c r="O95" s="464">
        <v>0</v>
      </c>
      <c r="P95" s="460">
        <f t="shared" si="15"/>
        <v>1470000</v>
      </c>
    </row>
    <row r="96" spans="4:17" ht="18.75" thickBot="1" x14ac:dyDescent="0.3">
      <c r="D96" s="953">
        <v>9</v>
      </c>
      <c r="E96" s="954">
        <v>44805</v>
      </c>
      <c r="F96" s="955">
        <v>44834</v>
      </c>
      <c r="G96" s="956">
        <f>G95-K96</f>
        <v>857000000</v>
      </c>
      <c r="H96" s="957">
        <v>0.02</v>
      </c>
      <c r="I96" s="958">
        <v>30</v>
      </c>
      <c r="J96" s="959">
        <v>360</v>
      </c>
      <c r="K96" s="960">
        <v>25000000</v>
      </c>
      <c r="L96" s="961">
        <f t="shared" si="14"/>
        <v>1428333.3333333333</v>
      </c>
      <c r="M96" s="962">
        <f>K96+L96</f>
        <v>26428333.333333332</v>
      </c>
      <c r="N96" s="963">
        <f>+K96</f>
        <v>25000000</v>
      </c>
      <c r="O96" s="964">
        <v>0</v>
      </c>
      <c r="P96" s="965">
        <f t="shared" si="15"/>
        <v>1428333.3333333321</v>
      </c>
    </row>
    <row r="97" spans="4:16" ht="18.75" thickBot="1" x14ac:dyDescent="0.3">
      <c r="D97" s="946">
        <v>10</v>
      </c>
      <c r="E97" s="939">
        <v>44835</v>
      </c>
      <c r="F97" s="940">
        <v>44865</v>
      </c>
      <c r="G97" s="966">
        <f>G96-K97</f>
        <v>857000000</v>
      </c>
      <c r="H97" s="967">
        <v>0.02</v>
      </c>
      <c r="I97" s="973">
        <v>30</v>
      </c>
      <c r="J97" s="968">
        <v>360</v>
      </c>
      <c r="K97" s="969"/>
      <c r="L97" s="952">
        <f t="shared" si="14"/>
        <v>1428333.3333333333</v>
      </c>
      <c r="M97" s="948">
        <f>K97+L97</f>
        <v>1428333.3333333333</v>
      </c>
      <c r="N97" s="974">
        <v>0</v>
      </c>
      <c r="O97" s="975">
        <v>0</v>
      </c>
      <c r="P97" s="460">
        <f t="shared" si="15"/>
        <v>1428333.3333333333</v>
      </c>
    </row>
    <row r="98" spans="4:16" ht="18.75" thickBot="1" x14ac:dyDescent="0.3">
      <c r="D98" s="953">
        <v>11</v>
      </c>
      <c r="E98" s="976">
        <v>44866</v>
      </c>
      <c r="F98" s="977">
        <v>44895</v>
      </c>
      <c r="G98" s="956">
        <f>G97-K98</f>
        <v>847000000</v>
      </c>
      <c r="H98" s="957">
        <v>0.02</v>
      </c>
      <c r="I98" s="971">
        <v>30</v>
      </c>
      <c r="J98" s="959">
        <v>360</v>
      </c>
      <c r="K98" s="960">
        <v>10000000</v>
      </c>
      <c r="L98" s="961">
        <f>G98*H98*I98/J98</f>
        <v>1411666.6666666667</v>
      </c>
      <c r="M98" s="962">
        <f t="shared" ref="M98:M99" si="21">K98+L98</f>
        <v>11411666.666666666</v>
      </c>
      <c r="N98" s="963">
        <f>+K98</f>
        <v>10000000</v>
      </c>
      <c r="O98" s="978">
        <v>0</v>
      </c>
      <c r="P98" s="965">
        <f t="shared" si="15"/>
        <v>1411666.666666666</v>
      </c>
    </row>
    <row r="99" spans="4:16" ht="18.75" thickBot="1" x14ac:dyDescent="0.3">
      <c r="D99" s="946">
        <v>12</v>
      </c>
      <c r="E99" s="939">
        <v>44896</v>
      </c>
      <c r="F99" s="940">
        <v>44926</v>
      </c>
      <c r="G99" s="966">
        <f>G98-K99</f>
        <v>847000000</v>
      </c>
      <c r="H99" s="967">
        <v>0.02</v>
      </c>
      <c r="I99" s="950">
        <v>30</v>
      </c>
      <c r="J99" s="968">
        <v>360</v>
      </c>
      <c r="K99" s="969"/>
      <c r="L99" s="952">
        <f>G99*H99*I99/J99</f>
        <v>1411666.6666666667</v>
      </c>
      <c r="M99" s="948">
        <f t="shared" si="21"/>
        <v>1411666.6666666667</v>
      </c>
      <c r="N99" s="974">
        <v>0</v>
      </c>
      <c r="O99" s="975">
        <v>0</v>
      </c>
      <c r="P99" s="460">
        <f t="shared" si="15"/>
        <v>1411666.6666666667</v>
      </c>
    </row>
    <row r="100" spans="4:16" ht="15.75" customHeight="1" thickBot="1" x14ac:dyDescent="0.3">
      <c r="D100" s="1248" t="s">
        <v>290</v>
      </c>
      <c r="E100" s="1249"/>
      <c r="F100" s="1250"/>
      <c r="G100" s="979" t="s">
        <v>91</v>
      </c>
      <c r="H100" s="766" t="s">
        <v>91</v>
      </c>
      <c r="I100" s="980">
        <f>SUM(I83:I99)</f>
        <v>360</v>
      </c>
      <c r="J100" s="981"/>
      <c r="K100" s="982">
        <f t="shared" ref="K100:O100" si="22">SUM(K83:K99)</f>
        <v>106000000</v>
      </c>
      <c r="L100" s="983">
        <f>SUM(L83:L99)</f>
        <v>17911111.111111112</v>
      </c>
      <c r="M100" s="982">
        <f t="shared" si="22"/>
        <v>123911111.1111111</v>
      </c>
      <c r="N100" s="984">
        <f t="shared" si="22"/>
        <v>106000000</v>
      </c>
      <c r="O100" s="985">
        <f t="shared" si="22"/>
        <v>0</v>
      </c>
      <c r="P100" s="986">
        <f>SUM(P83:P99)</f>
        <v>17911111.111111108</v>
      </c>
    </row>
    <row r="102" spans="4:16" ht="18" x14ac:dyDescent="0.25">
      <c r="G102" s="210" t="s">
        <v>29</v>
      </c>
      <c r="H102" s="26"/>
      <c r="I102" s="9"/>
      <c r="J102" s="6"/>
      <c r="K102" s="1163">
        <v>103984</v>
      </c>
      <c r="L102" s="1164"/>
      <c r="M102" s="10"/>
    </row>
    <row r="103" spans="4:16" ht="20.25" x14ac:dyDescent="0.25">
      <c r="G103" s="9" t="s">
        <v>117</v>
      </c>
      <c r="H103" s="4"/>
      <c r="I103" s="15"/>
      <c r="J103" s="6"/>
      <c r="K103" s="6"/>
      <c r="L103" s="23"/>
      <c r="M103" s="323">
        <f>(953000/K102)/1000</f>
        <v>9.1648715186951838E-3</v>
      </c>
    </row>
    <row r="104" spans="4:16" ht="22.5" x14ac:dyDescent="0.3">
      <c r="G104" s="9" t="s">
        <v>118</v>
      </c>
      <c r="I104" s="31"/>
      <c r="J104" s="31"/>
      <c r="K104" s="31"/>
      <c r="L104" s="31"/>
      <c r="M104" s="323">
        <f>(1059000*100%)/'Ба Вазир 01-04-22'!L18</f>
        <v>0.21208320798346356</v>
      </c>
    </row>
    <row r="106" spans="4:16" ht="22.5" customHeight="1" x14ac:dyDescent="0.3">
      <c r="D106" s="1213" t="s">
        <v>120</v>
      </c>
      <c r="E106" s="1213"/>
      <c r="F106" s="1213"/>
      <c r="G106" s="1213"/>
      <c r="H106" s="1213"/>
      <c r="I106" s="1213"/>
      <c r="J106" s="1213"/>
      <c r="K106" s="1213"/>
      <c r="L106" s="1213"/>
      <c r="M106" s="1213"/>
      <c r="N106" s="1213"/>
    </row>
    <row r="107" spans="4:16" ht="48.75" customHeight="1" x14ac:dyDescent="0.25">
      <c r="D107" s="1214" t="s">
        <v>246</v>
      </c>
      <c r="E107" s="1214"/>
      <c r="F107" s="1214"/>
      <c r="G107" s="1214"/>
      <c r="H107" s="1214"/>
      <c r="I107" s="1214"/>
      <c r="J107" s="1214"/>
      <c r="K107" s="1214"/>
      <c r="L107" s="1214"/>
      <c r="M107" s="1214"/>
      <c r="N107" s="1214"/>
    </row>
    <row r="108" spans="4:16" ht="15.75" customHeight="1" thickBot="1" x14ac:dyDescent="0.3">
      <c r="D108" s="1232" t="s">
        <v>49</v>
      </c>
      <c r="E108" s="1232"/>
      <c r="F108" s="1232"/>
      <c r="G108" s="1232"/>
      <c r="H108" s="1232"/>
      <c r="I108" s="1232"/>
      <c r="J108" s="1232"/>
      <c r="K108" s="1232"/>
      <c r="L108" s="1232"/>
      <c r="M108" s="1232"/>
      <c r="N108" s="1232"/>
    </row>
    <row r="109" spans="4:16" ht="75.75" customHeight="1" thickBot="1" x14ac:dyDescent="0.3">
      <c r="D109" s="450" t="s">
        <v>28</v>
      </c>
      <c r="E109" s="1233" t="s">
        <v>85</v>
      </c>
      <c r="F109" s="1235"/>
      <c r="G109" s="450" t="s">
        <v>86</v>
      </c>
      <c r="H109" s="451" t="s">
        <v>40</v>
      </c>
      <c r="I109" s="1244" t="s">
        <v>188</v>
      </c>
      <c r="J109" s="1245"/>
      <c r="K109" s="451" t="s">
        <v>30</v>
      </c>
      <c r="L109" s="936" t="s">
        <v>185</v>
      </c>
      <c r="M109" s="937" t="s">
        <v>166</v>
      </c>
      <c r="N109" s="937" t="s">
        <v>248</v>
      </c>
    </row>
    <row r="110" spans="4:16" ht="31.5" customHeight="1" thickBot="1" x14ac:dyDescent="0.3">
      <c r="D110" s="469">
        <v>1</v>
      </c>
      <c r="E110" s="1238" t="s">
        <v>186</v>
      </c>
      <c r="F110" s="1239"/>
      <c r="G110" s="761">
        <f>1165000000</f>
        <v>1165000000</v>
      </c>
      <c r="H110" s="762">
        <v>0.02</v>
      </c>
      <c r="I110" s="1246">
        <v>360</v>
      </c>
      <c r="J110" s="1247"/>
      <c r="K110" s="475"/>
      <c r="L110" s="476">
        <v>23300000</v>
      </c>
      <c r="M110" s="765">
        <f>K110+L110</f>
        <v>23300000</v>
      </c>
      <c r="N110" s="765">
        <v>0</v>
      </c>
    </row>
    <row r="111" spans="4:16" ht="31.5" customHeight="1" thickBot="1" x14ac:dyDescent="0.3">
      <c r="D111" s="764">
        <v>2</v>
      </c>
      <c r="E111" s="1240" t="s">
        <v>187</v>
      </c>
      <c r="F111" s="1241"/>
      <c r="G111" s="478">
        <f>1165000000</f>
        <v>1165000000</v>
      </c>
      <c r="H111" s="766">
        <v>0.02</v>
      </c>
      <c r="I111" s="1215">
        <v>360</v>
      </c>
      <c r="J111" s="1216"/>
      <c r="K111" s="935">
        <v>106000000</v>
      </c>
      <c r="L111" s="767">
        <v>21468983.329999998</v>
      </c>
      <c r="M111" s="478">
        <f>K111+L111</f>
        <v>127468983.33</v>
      </c>
      <c r="N111" s="478">
        <v>0</v>
      </c>
    </row>
    <row r="112" spans="4:16" ht="36.75" customHeight="1" thickBot="1" x14ac:dyDescent="0.3">
      <c r="D112" s="764">
        <v>3</v>
      </c>
      <c r="E112" s="1242" t="s">
        <v>245</v>
      </c>
      <c r="F112" s="1243"/>
      <c r="G112" s="761">
        <f>G111-K111</f>
        <v>1059000000</v>
      </c>
      <c r="H112" s="762">
        <v>0.02</v>
      </c>
      <c r="I112" s="1217">
        <v>360</v>
      </c>
      <c r="J112" s="1218"/>
      <c r="K112" s="475">
        <v>106000000</v>
      </c>
      <c r="L112" s="476">
        <f>8659350.61+5294999.66+3000000+4084316.4</f>
        <v>21038666.669999998</v>
      </c>
      <c r="M112" s="761">
        <f>L112+K112</f>
        <v>127038666.67</v>
      </c>
      <c r="N112" s="478">
        <v>0</v>
      </c>
      <c r="O112" s="483">
        <f>-(G112*H112*I112/I112)</f>
        <v>-21180000</v>
      </c>
      <c r="P112" s="747">
        <f>+O112+L112</f>
        <v>-141333.33000000194</v>
      </c>
    </row>
    <row r="113" spans="4:16" ht="36.75" customHeight="1" thickBot="1" x14ac:dyDescent="0.3">
      <c r="D113" s="764">
        <v>4</v>
      </c>
      <c r="E113" s="1209" t="s">
        <v>247</v>
      </c>
      <c r="F113" s="1210"/>
      <c r="G113" s="478">
        <f>G112-K112</f>
        <v>953000000</v>
      </c>
      <c r="H113" s="766">
        <v>0.02</v>
      </c>
      <c r="I113" s="1211">
        <v>360</v>
      </c>
      <c r="J113" s="1212"/>
      <c r="K113" s="478">
        <f>106000000-71000000</f>
        <v>35000000</v>
      </c>
      <c r="L113" s="996">
        <v>-17911111.100000001</v>
      </c>
      <c r="M113" s="478">
        <f>+K113</f>
        <v>35000000</v>
      </c>
      <c r="N113" s="997">
        <f>+K112-K113-L113</f>
        <v>88911111.099999994</v>
      </c>
      <c r="O113" s="763">
        <f>+K112-K113+19060000</f>
        <v>90060000</v>
      </c>
      <c r="P113" s="998">
        <f>+L8-L100</f>
        <v>1148888.8888888881</v>
      </c>
    </row>
    <row r="114" spans="4:16" ht="33.75" customHeight="1" thickBot="1" x14ac:dyDescent="0.3">
      <c r="D114" s="1233" t="s">
        <v>81</v>
      </c>
      <c r="E114" s="1234"/>
      <c r="F114" s="1235"/>
      <c r="G114" s="478" t="s">
        <v>91</v>
      </c>
      <c r="H114" s="478" t="s">
        <v>91</v>
      </c>
      <c r="I114" s="1236" t="s">
        <v>91</v>
      </c>
      <c r="J114" s="1237"/>
      <c r="K114" s="479">
        <f>+K110+K111+K112+K113</f>
        <v>247000000</v>
      </c>
      <c r="L114" s="480">
        <f>+L110+L111+L112</f>
        <v>65807650</v>
      </c>
      <c r="M114" s="484">
        <f>+M110+M111+M112+M113</f>
        <v>312807650</v>
      </c>
      <c r="N114" s="484">
        <f>SUM(N110:N113)</f>
        <v>88911111.099999994</v>
      </c>
      <c r="O114" s="1018">
        <f>71000000+17911111.1</f>
        <v>88911111.099999994</v>
      </c>
      <c r="P114" s="58">
        <f>+L112-21180000</f>
        <v>-141333.33000000194</v>
      </c>
    </row>
    <row r="115" spans="4:16" x14ac:dyDescent="0.25">
      <c r="D115" s="482"/>
      <c r="E115" s="482"/>
      <c r="F115" s="482"/>
      <c r="G115" s="482"/>
      <c r="H115" s="482"/>
      <c r="I115" s="482"/>
      <c r="J115" s="482"/>
      <c r="K115" s="482"/>
      <c r="L115" s="482"/>
      <c r="M115" s="482"/>
      <c r="N115" s="1017"/>
    </row>
    <row r="116" spans="4:16" ht="48.75" customHeight="1" x14ac:dyDescent="0.25">
      <c r="D116" s="1229" t="s">
        <v>294</v>
      </c>
      <c r="E116" s="1229"/>
      <c r="F116" s="1229"/>
      <c r="G116" s="1229"/>
      <c r="H116" s="1229"/>
      <c r="I116" s="1229"/>
      <c r="J116" s="1229"/>
      <c r="K116" s="1229"/>
      <c r="L116" s="1229"/>
      <c r="M116" s="1229"/>
      <c r="N116" s="1229"/>
    </row>
  </sheetData>
  <mergeCells count="64">
    <mergeCell ref="K72:L72"/>
    <mergeCell ref="D100:F100"/>
    <mergeCell ref="K102:L102"/>
    <mergeCell ref="B22:P22"/>
    <mergeCell ref="B23:P23"/>
    <mergeCell ref="B24:P24"/>
    <mergeCell ref="P56:P57"/>
    <mergeCell ref="E56:F57"/>
    <mergeCell ref="G56:G57"/>
    <mergeCell ref="H56:H57"/>
    <mergeCell ref="N25:N26"/>
    <mergeCell ref="D52:P52"/>
    <mergeCell ref="D53:P53"/>
    <mergeCell ref="D54:P54"/>
    <mergeCell ref="O56:O57"/>
    <mergeCell ref="D77:P79"/>
    <mergeCell ref="D116:N116"/>
    <mergeCell ref="J56:J57"/>
    <mergeCell ref="K56:M56"/>
    <mergeCell ref="D108:N108"/>
    <mergeCell ref="I114:J114"/>
    <mergeCell ref="D114:F114"/>
    <mergeCell ref="E109:F109"/>
    <mergeCell ref="E110:F110"/>
    <mergeCell ref="E111:F111"/>
    <mergeCell ref="E112:F112"/>
    <mergeCell ref="I109:J109"/>
    <mergeCell ref="N56:N57"/>
    <mergeCell ref="I110:J110"/>
    <mergeCell ref="I56:I57"/>
    <mergeCell ref="D56:D57"/>
    <mergeCell ref="D70:F70"/>
    <mergeCell ref="B1:M1"/>
    <mergeCell ref="O25:O26"/>
    <mergeCell ref="B19:M19"/>
    <mergeCell ref="B21:P21"/>
    <mergeCell ref="B3:L3"/>
    <mergeCell ref="E4:F4"/>
    <mergeCell ref="J25:J26"/>
    <mergeCell ref="I25:I26"/>
    <mergeCell ref="H25:H26"/>
    <mergeCell ref="G25:G26"/>
    <mergeCell ref="E25:F26"/>
    <mergeCell ref="D25:D26"/>
    <mergeCell ref="B2:M2"/>
    <mergeCell ref="K25:M25"/>
    <mergeCell ref="P25:P26"/>
    <mergeCell ref="D17:F17"/>
    <mergeCell ref="D81:D82"/>
    <mergeCell ref="P81:P82"/>
    <mergeCell ref="O81:O82"/>
    <mergeCell ref="N81:N82"/>
    <mergeCell ref="K81:M81"/>
    <mergeCell ref="E81:F82"/>
    <mergeCell ref="G81:G82"/>
    <mergeCell ref="H81:H82"/>
    <mergeCell ref="I81:I82"/>
    <mergeCell ref="J81:J82"/>
    <mergeCell ref="E113:F113"/>
    <mergeCell ref="I113:J113"/>
    <mergeCell ref="D106:N106"/>
    <mergeCell ref="D107:N107"/>
    <mergeCell ref="I111:J111"/>
    <mergeCell ref="I112:J112"/>
  </mergeCells>
  <pageMargins left="0.66" right="0.19685039370078741" top="0.82677165354330717" bottom="0.19685039370078741" header="0.19685039370078741" footer="0.19685039370078741"/>
  <pageSetup paperSize="9" scale="75" orientation="landscape" verticalDpi="0" r:id="rId1"/>
  <rowBreaks count="1" manualBreakCount="1">
    <brk id="4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0"/>
  <sheetViews>
    <sheetView zoomScale="70" zoomScaleNormal="70" zoomScaleSheetLayoutView="77" workbookViewId="0">
      <selection activeCell="I25" sqref="I25"/>
    </sheetView>
  </sheetViews>
  <sheetFormatPr defaultRowHeight="15" x14ac:dyDescent="0.25"/>
  <cols>
    <col min="1" max="1" width="7.5703125" style="1" customWidth="1"/>
    <col min="2" max="2" width="62" style="2" customWidth="1"/>
    <col min="3" max="3" width="26.5703125" style="1" hidden="1" customWidth="1"/>
    <col min="4" max="4" width="21.5703125" style="1" hidden="1" customWidth="1"/>
    <col min="5" max="5" width="0.140625" style="1" customWidth="1"/>
    <col min="6" max="6" width="12.28515625" style="1" hidden="1" customWidth="1"/>
    <col min="7" max="7" width="11.5703125" style="1" hidden="1" customWidth="1"/>
    <col min="8" max="8" width="29.140625" style="1" customWidth="1"/>
    <col min="9" max="10" width="22.5703125" style="1" customWidth="1"/>
    <col min="11" max="11" width="24.140625" style="1" customWidth="1"/>
    <col min="12" max="12" width="23.140625" style="1" customWidth="1"/>
    <col min="13" max="13" width="19.7109375" style="1" customWidth="1"/>
    <col min="14" max="14" width="23" style="1" customWidth="1"/>
    <col min="15" max="15" width="25.140625" style="1" customWidth="1"/>
    <col min="16" max="16" width="33.140625" style="1" customWidth="1"/>
    <col min="17" max="17" width="13.5703125" style="1" customWidth="1"/>
    <col min="18" max="18" width="16.140625" style="1" customWidth="1"/>
    <col min="19" max="19" width="10.28515625" style="1" bestFit="1" customWidth="1"/>
    <col min="20" max="16384" width="9.140625" style="1"/>
  </cols>
  <sheetData>
    <row r="1" spans="1:19" ht="65.25" customHeight="1" x14ac:dyDescent="0.35">
      <c r="A1" s="1255" t="s">
        <v>163</v>
      </c>
      <c r="B1" s="1255"/>
      <c r="C1" s="1255"/>
      <c r="D1" s="1255"/>
      <c r="E1" s="1255"/>
      <c r="F1" s="1255"/>
      <c r="G1" s="1255"/>
      <c r="H1" s="1255"/>
      <c r="I1" s="1255"/>
      <c r="J1" s="1255"/>
      <c r="K1" s="1255"/>
      <c r="L1" s="1255"/>
      <c r="M1" s="1255"/>
      <c r="N1" s="1255"/>
      <c r="O1" s="1255"/>
      <c r="P1" s="1255"/>
    </row>
    <row r="2" spans="1:19" ht="35.25" customHeight="1" x14ac:dyDescent="0.25">
      <c r="A2" s="1256" t="s">
        <v>284</v>
      </c>
      <c r="B2" s="1256"/>
      <c r="C2" s="1256"/>
      <c r="D2" s="1256"/>
      <c r="E2" s="1256"/>
      <c r="F2" s="1256"/>
      <c r="G2" s="1256"/>
      <c r="H2" s="1256"/>
      <c r="I2" s="1256"/>
      <c r="J2" s="1256"/>
      <c r="K2" s="1256"/>
      <c r="L2" s="1256"/>
      <c r="M2" s="1256"/>
      <c r="N2" s="1256"/>
      <c r="O2" s="1256"/>
      <c r="P2" s="1256"/>
    </row>
    <row r="3" spans="1:19" ht="33" customHeight="1" thickBot="1" x14ac:dyDescent="0.3">
      <c r="A3" s="1257" t="s">
        <v>112</v>
      </c>
      <c r="B3" s="1257"/>
      <c r="C3" s="1257"/>
      <c r="D3" s="1257"/>
      <c r="E3" s="1257"/>
      <c r="F3" s="1257"/>
      <c r="G3" s="1257"/>
      <c r="H3" s="1257"/>
      <c r="I3" s="1257"/>
      <c r="J3" s="1257"/>
      <c r="K3" s="1257"/>
      <c r="L3" s="1257"/>
      <c r="M3" s="1257"/>
      <c r="N3" s="1257"/>
      <c r="O3" s="1257"/>
      <c r="P3" s="1257"/>
    </row>
    <row r="4" spans="1:19" ht="73.5" customHeight="1" thickBot="1" x14ac:dyDescent="0.3">
      <c r="A4" s="1259" t="s">
        <v>28</v>
      </c>
      <c r="B4" s="1259" t="s">
        <v>0</v>
      </c>
      <c r="C4" s="160" t="s">
        <v>1</v>
      </c>
      <c r="D4" s="158" t="s">
        <v>2</v>
      </c>
      <c r="E4" s="158" t="s">
        <v>3</v>
      </c>
      <c r="F4" s="159" t="s">
        <v>4</v>
      </c>
      <c r="G4" s="161" t="s">
        <v>40</v>
      </c>
      <c r="H4" s="1259" t="s">
        <v>267</v>
      </c>
      <c r="I4" s="1262" t="s">
        <v>268</v>
      </c>
      <c r="J4" s="1263"/>
      <c r="K4" s="1264"/>
      <c r="L4" s="1265" t="s">
        <v>285</v>
      </c>
      <c r="M4" s="1266"/>
      <c r="N4" s="1267"/>
      <c r="O4" s="1259" t="s">
        <v>256</v>
      </c>
      <c r="P4" s="1259" t="s">
        <v>257</v>
      </c>
    </row>
    <row r="5" spans="1:19" ht="69.75" customHeight="1" thickBot="1" x14ac:dyDescent="0.3">
      <c r="A5" s="1261"/>
      <c r="B5" s="1260"/>
      <c r="C5" s="365"/>
      <c r="D5" s="364"/>
      <c r="E5" s="364"/>
      <c r="F5" s="364"/>
      <c r="G5" s="366"/>
      <c r="H5" s="1260"/>
      <c r="I5" s="374" t="s">
        <v>88</v>
      </c>
      <c r="J5" s="814" t="s">
        <v>164</v>
      </c>
      <c r="K5" s="372" t="s">
        <v>168</v>
      </c>
      <c r="L5" s="159" t="s">
        <v>130</v>
      </c>
      <c r="M5" s="852" t="s">
        <v>165</v>
      </c>
      <c r="N5" s="159" t="s">
        <v>166</v>
      </c>
      <c r="O5" s="1260"/>
      <c r="P5" s="1260"/>
    </row>
    <row r="6" spans="1:19" ht="56.25" customHeight="1" x14ac:dyDescent="0.25">
      <c r="A6" s="150">
        <v>1</v>
      </c>
      <c r="B6" s="216" t="s">
        <v>110</v>
      </c>
      <c r="C6" s="148" t="s">
        <v>5</v>
      </c>
      <c r="D6" s="214">
        <f>153790091/1000</f>
        <v>153790.09099999999</v>
      </c>
      <c r="E6" s="215">
        <v>2001</v>
      </c>
      <c r="F6" s="215" t="s">
        <v>37</v>
      </c>
      <c r="G6" s="216" t="s">
        <v>6</v>
      </c>
      <c r="H6" s="368">
        <v>23001</v>
      </c>
      <c r="I6" s="782"/>
      <c r="J6" s="815"/>
      <c r="K6" s="783"/>
      <c r="L6" s="219"/>
      <c r="M6" s="794"/>
      <c r="N6" s="219"/>
      <c r="O6" s="219">
        <f>+K6-N6</f>
        <v>0</v>
      </c>
      <c r="P6" s="219">
        <f>H6</f>
        <v>23001</v>
      </c>
    </row>
    <row r="7" spans="1:19" ht="75" customHeight="1" x14ac:dyDescent="0.25">
      <c r="A7" s="150">
        <v>2</v>
      </c>
      <c r="B7" s="151" t="s">
        <v>111</v>
      </c>
      <c r="C7" s="148" t="s">
        <v>8</v>
      </c>
      <c r="D7" s="149">
        <v>395048</v>
      </c>
      <c r="E7" s="150">
        <v>2010</v>
      </c>
      <c r="F7" s="150" t="s">
        <v>39</v>
      </c>
      <c r="G7" s="151" t="s">
        <v>139</v>
      </c>
      <c r="H7" s="162">
        <v>59009.616000000002</v>
      </c>
      <c r="I7" s="686">
        <v>4720800</v>
      </c>
      <c r="J7" s="797"/>
      <c r="K7" s="784">
        <f>I7+J7</f>
        <v>4720800</v>
      </c>
      <c r="L7" s="153"/>
      <c r="M7" s="795"/>
      <c r="N7" s="153"/>
      <c r="O7" s="219">
        <f>+K7-N7</f>
        <v>4720800</v>
      </c>
      <c r="P7" s="153">
        <f>H7-L7</f>
        <v>59009.616000000002</v>
      </c>
    </row>
    <row r="8" spans="1:19" ht="63" customHeight="1" x14ac:dyDescent="0.25">
      <c r="A8" s="150">
        <v>3</v>
      </c>
      <c r="B8" s="151" t="s">
        <v>17</v>
      </c>
      <c r="C8" s="148" t="s">
        <v>18</v>
      </c>
      <c r="D8" s="149">
        <f>530000000/1000</f>
        <v>530000</v>
      </c>
      <c r="E8" s="150">
        <v>2017</v>
      </c>
      <c r="F8" s="150" t="s">
        <v>36</v>
      </c>
      <c r="G8" s="151" t="s">
        <v>138</v>
      </c>
      <c r="H8" s="162">
        <v>121999</v>
      </c>
      <c r="I8" s="686">
        <v>2120000</v>
      </c>
      <c r="J8" s="797"/>
      <c r="K8" s="784">
        <f>I8+J8</f>
        <v>2120000</v>
      </c>
      <c r="L8" s="153"/>
      <c r="M8" s="795"/>
      <c r="N8" s="153"/>
      <c r="O8" s="219">
        <f>+K8-N8</f>
        <v>2120000</v>
      </c>
      <c r="P8" s="153">
        <f>H8-L8</f>
        <v>121999</v>
      </c>
      <c r="R8" s="225"/>
      <c r="S8" s="700"/>
    </row>
    <row r="9" spans="1:19" ht="75.75" customHeight="1" thickBot="1" x14ac:dyDescent="0.3">
      <c r="A9" s="150">
        <v>4</v>
      </c>
      <c r="B9" s="151" t="s">
        <v>41</v>
      </c>
      <c r="C9" s="148" t="s">
        <v>11</v>
      </c>
      <c r="D9" s="149">
        <f>200000000/1000</f>
        <v>200000</v>
      </c>
      <c r="E9" s="150">
        <v>2012</v>
      </c>
      <c r="F9" s="150" t="s">
        <v>35</v>
      </c>
      <c r="G9" s="154" t="s">
        <v>24</v>
      </c>
      <c r="H9" s="162">
        <v>200000</v>
      </c>
      <c r="I9" s="686"/>
      <c r="J9" s="797"/>
      <c r="K9" s="784"/>
      <c r="L9" s="369"/>
      <c r="M9" s="795"/>
      <c r="N9" s="153"/>
      <c r="O9" s="219">
        <f>+K9-N9</f>
        <v>0</v>
      </c>
      <c r="P9" s="153">
        <f>H9-L9</f>
        <v>200000</v>
      </c>
      <c r="R9" s="701"/>
    </row>
    <row r="10" spans="1:19" ht="84.75" customHeight="1" thickBot="1" x14ac:dyDescent="0.3">
      <c r="A10" s="163">
        <v>5</v>
      </c>
      <c r="B10" s="183" t="s">
        <v>26</v>
      </c>
      <c r="C10" s="155" t="s">
        <v>27</v>
      </c>
      <c r="D10" s="320">
        <v>1165000</v>
      </c>
      <c r="E10" s="156">
        <v>2019</v>
      </c>
      <c r="F10" s="156" t="s">
        <v>33</v>
      </c>
      <c r="G10" s="157">
        <v>0.02</v>
      </c>
      <c r="H10" s="164">
        <v>953000</v>
      </c>
      <c r="I10" s="785"/>
      <c r="J10" s="816"/>
      <c r="K10" s="784"/>
      <c r="L10" s="331"/>
      <c r="M10" s="853"/>
      <c r="N10" s="153"/>
      <c r="O10" s="219">
        <f>+K10-N10</f>
        <v>0</v>
      </c>
      <c r="P10" s="165">
        <f>H10-L10</f>
        <v>953000</v>
      </c>
    </row>
    <row r="11" spans="1:19" ht="34.5" customHeight="1" thickBot="1" x14ac:dyDescent="0.3">
      <c r="A11" s="817"/>
      <c r="B11" s="802" t="s">
        <v>81</v>
      </c>
      <c r="C11" s="818"/>
      <c r="D11" s="819"/>
      <c r="E11" s="820"/>
      <c r="F11" s="821"/>
      <c r="G11" s="822"/>
      <c r="H11" s="823">
        <f>+H6+H7+H8+H9+H10</f>
        <v>1357009.6159999999</v>
      </c>
      <c r="I11" s="824">
        <f t="shared" ref="I11:N11" si="0">SUM(I6:I10)</f>
        <v>6840800</v>
      </c>
      <c r="J11" s="825">
        <f t="shared" si="0"/>
        <v>0</v>
      </c>
      <c r="K11" s="826">
        <f t="shared" si="0"/>
        <v>6840800</v>
      </c>
      <c r="L11" s="826">
        <f t="shared" si="0"/>
        <v>0</v>
      </c>
      <c r="M11" s="854">
        <f t="shared" si="0"/>
        <v>0</v>
      </c>
      <c r="N11" s="827">
        <f t="shared" si="0"/>
        <v>0</v>
      </c>
      <c r="O11" s="828">
        <f>SUM(O6:O10)</f>
        <v>6840800</v>
      </c>
      <c r="P11" s="824">
        <f>SUM(P6:P10)</f>
        <v>1357009.6159999999</v>
      </c>
    </row>
    <row r="12" spans="1:19" ht="75.75" customHeight="1" thickBot="1" x14ac:dyDescent="0.3">
      <c r="A12" s="215">
        <v>6</v>
      </c>
      <c r="B12" s="376" t="s">
        <v>19</v>
      </c>
      <c r="C12" s="213" t="s">
        <v>20</v>
      </c>
      <c r="D12" s="214">
        <v>50000</v>
      </c>
      <c r="E12" s="215">
        <v>2009</v>
      </c>
      <c r="F12" s="215" t="s">
        <v>21</v>
      </c>
      <c r="G12" s="321" t="s">
        <v>113</v>
      </c>
      <c r="H12" s="217">
        <v>50000</v>
      </c>
      <c r="I12" s="370"/>
      <c r="J12" s="799"/>
      <c r="K12" s="373"/>
      <c r="L12" s="322"/>
      <c r="M12" s="794"/>
      <c r="N12" s="219"/>
      <c r="O12" s="219"/>
      <c r="P12" s="218"/>
    </row>
    <row r="13" spans="1:19" ht="48" customHeight="1" thickBot="1" x14ac:dyDescent="0.3">
      <c r="A13" s="166"/>
      <c r="B13" s="375" t="s">
        <v>140</v>
      </c>
      <c r="C13" s="167"/>
      <c r="D13" s="168"/>
      <c r="E13" s="169"/>
      <c r="F13" s="170"/>
      <c r="G13" s="171"/>
      <c r="H13" s="318">
        <f>H11+H12</f>
        <v>1407009.6159999999</v>
      </c>
      <c r="I13" s="318">
        <f t="shared" ref="I13:P13" si="1">I11+I12</f>
        <v>6840800</v>
      </c>
      <c r="J13" s="318">
        <f t="shared" si="1"/>
        <v>0</v>
      </c>
      <c r="K13" s="318">
        <f t="shared" si="1"/>
        <v>6840800</v>
      </c>
      <c r="L13" s="318">
        <f t="shared" si="1"/>
        <v>0</v>
      </c>
      <c r="M13" s="318">
        <f t="shared" si="1"/>
        <v>0</v>
      </c>
      <c r="N13" s="318">
        <f t="shared" si="1"/>
        <v>0</v>
      </c>
      <c r="O13" s="318">
        <f t="shared" si="1"/>
        <v>6840800</v>
      </c>
      <c r="P13" s="318">
        <f t="shared" si="1"/>
        <v>1357009.6159999999</v>
      </c>
    </row>
    <row r="14" spans="1:19" ht="27" customHeight="1" x14ac:dyDescent="0.25">
      <c r="A14" s="172"/>
      <c r="B14" s="1258"/>
      <c r="C14" s="1258"/>
      <c r="D14" s="182" t="e">
        <f>P13/#REF!/1000</f>
        <v>#REF!</v>
      </c>
      <c r="E14" s="177"/>
      <c r="F14" s="178"/>
      <c r="G14" s="172"/>
      <c r="H14" s="179"/>
      <c r="I14" s="179"/>
      <c r="J14" s="179"/>
      <c r="K14" s="179"/>
      <c r="L14" s="180"/>
      <c r="M14" s="359"/>
      <c r="N14" s="359"/>
      <c r="O14" s="359"/>
    </row>
    <row r="15" spans="1:19" ht="18.75" x14ac:dyDescent="0.3">
      <c r="A15" s="172"/>
      <c r="B15" s="173"/>
      <c r="C15" s="176"/>
      <c r="D15" s="175"/>
      <c r="E15" s="177"/>
      <c r="F15" s="178"/>
      <c r="G15" s="172"/>
      <c r="H15" s="179"/>
      <c r="I15" s="179"/>
      <c r="J15" s="179"/>
      <c r="K15" s="179"/>
      <c r="L15" s="180"/>
      <c r="M15" s="181"/>
      <c r="N15" s="181"/>
      <c r="O15" s="181"/>
      <c r="P15" s="182"/>
    </row>
    <row r="16" spans="1:19" ht="15.75" thickBot="1" x14ac:dyDescent="0.3">
      <c r="G16" s="14"/>
    </row>
    <row r="17" spans="8:13" ht="21" x14ac:dyDescent="0.35">
      <c r="H17" s="1253">
        <v>218831800</v>
      </c>
      <c r="I17" s="887">
        <v>1</v>
      </c>
      <c r="J17" s="888">
        <v>2</v>
      </c>
      <c r="K17" s="888">
        <v>3</v>
      </c>
      <c r="L17" s="889">
        <v>4</v>
      </c>
      <c r="M17" s="176"/>
    </row>
    <row r="18" spans="8:13" ht="24" thickBot="1" x14ac:dyDescent="0.4">
      <c r="H18" s="1254"/>
      <c r="I18" s="890">
        <v>59843150</v>
      </c>
      <c r="J18" s="891">
        <v>67219417</v>
      </c>
      <c r="K18" s="891">
        <v>55314817</v>
      </c>
      <c r="L18" s="892">
        <v>36454416</v>
      </c>
      <c r="M18" s="176"/>
    </row>
    <row r="19" spans="8:13" ht="18.75" x14ac:dyDescent="0.3">
      <c r="I19" s="699"/>
      <c r="J19" s="699"/>
    </row>
    <row r="20" spans="8:13" x14ac:dyDescent="0.25">
      <c r="H20" s="225"/>
    </row>
  </sheetData>
  <mergeCells count="12">
    <mergeCell ref="H17:H18"/>
    <mergeCell ref="A1:P1"/>
    <mergeCell ref="A2:P2"/>
    <mergeCell ref="A3:P3"/>
    <mergeCell ref="B14:C14"/>
    <mergeCell ref="H4:H5"/>
    <mergeCell ref="B4:B5"/>
    <mergeCell ref="A4:A5"/>
    <mergeCell ref="P4:P5"/>
    <mergeCell ref="I4:K4"/>
    <mergeCell ref="L4:N4"/>
    <mergeCell ref="O4:O5"/>
  </mergeCells>
  <pageMargins left="0.31" right="0.19685039370078741" top="0.31496062992125984" bottom="0.19685039370078741" header="0.31496062992125984" footer="0.19685039370078741"/>
  <pageSetup paperSize="9" scale="4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1"/>
  <sheetViews>
    <sheetView topLeftCell="B7" zoomScale="70" zoomScaleNormal="70" workbookViewId="0">
      <selection activeCell="H23" sqref="H23"/>
    </sheetView>
  </sheetViews>
  <sheetFormatPr defaultRowHeight="15" x14ac:dyDescent="0.25"/>
  <cols>
    <col min="1" max="1" width="7" hidden="1" customWidth="1"/>
    <col min="2" max="2" width="37.28515625" customWidth="1"/>
    <col min="3" max="3" width="30.140625" customWidth="1"/>
    <col min="4" max="4" width="29.7109375" customWidth="1"/>
    <col min="5" max="5" width="34.28515625" customWidth="1"/>
    <col min="6" max="6" width="31.7109375" customWidth="1"/>
    <col min="7" max="7" width="34.85546875" customWidth="1"/>
    <col min="8" max="8" width="31" customWidth="1"/>
    <col min="9" max="9" width="32" customWidth="1"/>
    <col min="10" max="10" width="35.28515625" customWidth="1"/>
    <col min="13" max="13" width="12.85546875" bestFit="1" customWidth="1"/>
  </cols>
  <sheetData>
    <row r="1" spans="1:10" ht="18" x14ac:dyDescent="0.25">
      <c r="A1" s="30"/>
      <c r="B1" s="30"/>
      <c r="C1" s="30"/>
      <c r="D1" s="30"/>
      <c r="E1" s="30"/>
      <c r="F1" s="30"/>
      <c r="G1" s="30"/>
      <c r="H1" s="30"/>
      <c r="I1" s="30"/>
    </row>
    <row r="2" spans="1:10" ht="65.25" customHeight="1" x14ac:dyDescent="0.25">
      <c r="A2" s="184"/>
      <c r="B2" s="1272" t="s">
        <v>64</v>
      </c>
      <c r="C2" s="1272"/>
      <c r="D2" s="1272"/>
      <c r="E2" s="1272"/>
      <c r="F2" s="1272"/>
      <c r="G2" s="1272"/>
      <c r="H2" s="1272"/>
      <c r="I2" s="1272"/>
      <c r="J2" s="1272"/>
    </row>
    <row r="3" spans="1:10" ht="22.5" x14ac:dyDescent="0.3">
      <c r="A3" s="31"/>
      <c r="B3" s="31"/>
      <c r="C3" s="31"/>
      <c r="D3" s="32"/>
      <c r="E3" s="32"/>
      <c r="F3" s="32"/>
      <c r="G3" s="32"/>
      <c r="H3" s="32"/>
      <c r="I3" s="33"/>
      <c r="J3" s="31"/>
    </row>
    <row r="4" spans="1:10" ht="22.5" x14ac:dyDescent="0.3">
      <c r="A4" s="31"/>
      <c r="B4" s="1288" t="s">
        <v>65</v>
      </c>
      <c r="C4" s="1288"/>
      <c r="D4" s="1288"/>
      <c r="E4" s="1288"/>
      <c r="F4" s="1288"/>
      <c r="G4" s="1288"/>
      <c r="H4" s="1288"/>
      <c r="I4" s="1288"/>
      <c r="J4" s="1288"/>
    </row>
    <row r="5" spans="1:10" ht="23.25" thickBot="1" x14ac:dyDescent="0.35">
      <c r="A5" s="31"/>
      <c r="B5" s="31"/>
      <c r="C5" s="31"/>
      <c r="D5" s="32"/>
      <c r="E5" s="32"/>
      <c r="F5" s="32"/>
      <c r="G5" s="32"/>
      <c r="H5" s="32"/>
      <c r="I5" s="1271" t="s">
        <v>49</v>
      </c>
      <c r="J5" s="1271"/>
    </row>
    <row r="6" spans="1:10" ht="23.25" thickBot="1" x14ac:dyDescent="0.3">
      <c r="B6" s="1277" t="s">
        <v>50</v>
      </c>
      <c r="C6" s="1277" t="s">
        <v>51</v>
      </c>
      <c r="D6" s="1279" t="s">
        <v>52</v>
      </c>
      <c r="E6" s="1279"/>
      <c r="F6" s="1279"/>
      <c r="G6" s="1279"/>
      <c r="H6" s="1279"/>
      <c r="I6" s="1276"/>
      <c r="J6" s="1295" t="s">
        <v>66</v>
      </c>
    </row>
    <row r="7" spans="1:10" ht="66.75" customHeight="1" thickBot="1" x14ac:dyDescent="0.3">
      <c r="B7" s="1278"/>
      <c r="C7" s="1278"/>
      <c r="D7" s="34">
        <v>2017</v>
      </c>
      <c r="E7" s="35">
        <v>2018</v>
      </c>
      <c r="F7" s="34">
        <v>2019</v>
      </c>
      <c r="G7" s="35">
        <v>2020</v>
      </c>
      <c r="H7" s="34">
        <v>2021</v>
      </c>
      <c r="I7" s="35">
        <v>2022</v>
      </c>
      <c r="J7" s="1296"/>
    </row>
    <row r="8" spans="1:10" ht="23.25" thickBot="1" x14ac:dyDescent="0.3">
      <c r="A8" s="36"/>
      <c r="B8" s="1277">
        <v>530000000</v>
      </c>
      <c r="C8" s="1281" t="s">
        <v>53</v>
      </c>
      <c r="D8" s="37">
        <v>0</v>
      </c>
      <c r="E8" s="38">
        <v>0.2</v>
      </c>
      <c r="F8" s="39">
        <v>0.2</v>
      </c>
      <c r="G8" s="39">
        <v>0.2</v>
      </c>
      <c r="H8" s="39">
        <v>0.2</v>
      </c>
      <c r="I8" s="40">
        <v>0.2</v>
      </c>
      <c r="J8" s="40">
        <v>1</v>
      </c>
    </row>
    <row r="9" spans="1:10" ht="23.25" thickBot="1" x14ac:dyDescent="0.3">
      <c r="B9" s="1280"/>
      <c r="C9" s="1282"/>
      <c r="D9" s="41">
        <v>530000000</v>
      </c>
      <c r="E9" s="41">
        <v>530000000</v>
      </c>
      <c r="F9" s="42">
        <f>E9-E10</f>
        <v>424000000</v>
      </c>
      <c r="G9" s="42">
        <f>F9-F10</f>
        <v>318000000</v>
      </c>
      <c r="H9" s="42">
        <f>G9-G10</f>
        <v>212000000</v>
      </c>
      <c r="I9" s="42">
        <f>H9-H10</f>
        <v>106000000</v>
      </c>
      <c r="J9" s="42">
        <v>0</v>
      </c>
    </row>
    <row r="10" spans="1:10" ht="22.5" customHeight="1" x14ac:dyDescent="0.25">
      <c r="B10" s="1280"/>
      <c r="C10" s="1282"/>
      <c r="D10" s="1284">
        <v>0</v>
      </c>
      <c r="E10" s="1273">
        <v>106000000</v>
      </c>
      <c r="F10" s="1273">
        <v>106000000</v>
      </c>
      <c r="G10" s="1273">
        <v>106000000</v>
      </c>
      <c r="H10" s="1273">
        <v>106000000</v>
      </c>
      <c r="I10" s="1273">
        <v>106000000</v>
      </c>
      <c r="J10" s="1273">
        <f>SUM(E10:I10)</f>
        <v>530000000</v>
      </c>
    </row>
    <row r="11" spans="1:10" ht="23.25" customHeight="1" thickBot="1" x14ac:dyDescent="0.3">
      <c r="B11" s="1280"/>
      <c r="C11" s="1283"/>
      <c r="D11" s="1285"/>
      <c r="E11" s="1274"/>
      <c r="F11" s="1274"/>
      <c r="G11" s="1274"/>
      <c r="H11" s="1274"/>
      <c r="I11" s="1274"/>
      <c r="J11" s="1274"/>
    </row>
    <row r="12" spans="1:10" ht="33.75" customHeight="1" thickBot="1" x14ac:dyDescent="0.3">
      <c r="B12" s="1278"/>
      <c r="C12" s="43" t="s">
        <v>54</v>
      </c>
      <c r="D12" s="44">
        <f>E9*2%*262/365</f>
        <v>7608767.1232876712</v>
      </c>
      <c r="E12" s="45">
        <f>E9*2%</f>
        <v>10600000</v>
      </c>
      <c r="F12" s="45">
        <f>F9*0.02</f>
        <v>8480000</v>
      </c>
      <c r="G12" s="46">
        <f>G9*0.02</f>
        <v>6360000</v>
      </c>
      <c r="H12" s="47">
        <f>H9*0.02</f>
        <v>4240000</v>
      </c>
      <c r="I12" s="47">
        <f>I9*0.02</f>
        <v>2120000</v>
      </c>
      <c r="J12" s="188">
        <f>SUM(D12:I12)</f>
        <v>39408767.12328767</v>
      </c>
    </row>
    <row r="13" spans="1:10" ht="23.25" thickBot="1" x14ac:dyDescent="0.3">
      <c r="B13" s="1275" t="s">
        <v>55</v>
      </c>
      <c r="C13" s="1276"/>
      <c r="D13" s="48">
        <f t="shared" ref="D13:I13" si="0">SUM(D10:D12)</f>
        <v>7608767.1232876712</v>
      </c>
      <c r="E13" s="49">
        <f t="shared" si="0"/>
        <v>116600000</v>
      </c>
      <c r="F13" s="50">
        <f t="shared" si="0"/>
        <v>114480000</v>
      </c>
      <c r="G13" s="51">
        <f t="shared" si="0"/>
        <v>112360000</v>
      </c>
      <c r="H13" s="51">
        <f t="shared" si="0"/>
        <v>110240000</v>
      </c>
      <c r="I13" s="52">
        <f t="shared" si="0"/>
        <v>108120000</v>
      </c>
      <c r="J13" s="55">
        <f>J10+J12</f>
        <v>569408767.12328768</v>
      </c>
    </row>
    <row r="14" spans="1:10" ht="22.5" x14ac:dyDescent="0.3">
      <c r="A14" s="31"/>
      <c r="B14" s="31"/>
      <c r="C14" s="31"/>
      <c r="D14" s="31"/>
      <c r="E14" s="53"/>
      <c r="F14" s="31"/>
      <c r="G14" s="31"/>
      <c r="H14" s="31"/>
      <c r="I14" s="31"/>
      <c r="J14" s="31"/>
    </row>
    <row r="15" spans="1:10" ht="22.5" x14ac:dyDescent="0.3">
      <c r="A15" s="31"/>
      <c r="B15" s="54"/>
      <c r="C15" s="31"/>
      <c r="D15" s="31"/>
      <c r="E15" s="53"/>
      <c r="F15" s="53"/>
      <c r="G15" s="31"/>
      <c r="H15" s="31"/>
      <c r="I15" s="31"/>
      <c r="J15" s="31"/>
    </row>
    <row r="16" spans="1:10" ht="48.75" customHeight="1" x14ac:dyDescent="0.25">
      <c r="B16" s="1272" t="s">
        <v>170</v>
      </c>
      <c r="C16" s="1272"/>
      <c r="D16" s="1272"/>
      <c r="E16" s="1272"/>
      <c r="F16" s="1272"/>
      <c r="G16" s="1272"/>
      <c r="H16" s="1272"/>
      <c r="I16" s="1272"/>
      <c r="J16" s="1272"/>
    </row>
    <row r="17" spans="1:13" ht="31.5" customHeight="1" thickBot="1" x14ac:dyDescent="0.35">
      <c r="A17" s="31"/>
      <c r="B17" s="145"/>
      <c r="C17" s="31"/>
      <c r="D17" s="31"/>
      <c r="E17" s="31"/>
      <c r="F17" s="31"/>
      <c r="G17" s="31"/>
      <c r="H17" s="31"/>
      <c r="I17" s="1271" t="s">
        <v>49</v>
      </c>
      <c r="J17" s="1271"/>
    </row>
    <row r="18" spans="1:13" ht="90.75" customHeight="1" thickBot="1" x14ac:dyDescent="0.3">
      <c r="A18" s="1268"/>
      <c r="B18" s="1291" t="s">
        <v>56</v>
      </c>
      <c r="C18" s="1292"/>
      <c r="D18" s="191" t="s">
        <v>57</v>
      </c>
      <c r="E18" s="198" t="s">
        <v>58</v>
      </c>
      <c r="F18" s="191" t="s">
        <v>59</v>
      </c>
      <c r="G18" s="205" t="s">
        <v>60</v>
      </c>
      <c r="H18" s="198" t="s">
        <v>99</v>
      </c>
      <c r="I18" s="381" t="s">
        <v>169</v>
      </c>
      <c r="J18" s="142" t="s">
        <v>274</v>
      </c>
    </row>
    <row r="19" spans="1:13" ht="59.25" customHeight="1" thickBot="1" x14ac:dyDescent="0.3">
      <c r="A19" s="1268"/>
      <c r="B19" s="1289" t="s">
        <v>114</v>
      </c>
      <c r="C19" s="1290"/>
      <c r="D19" s="192">
        <v>530000000</v>
      </c>
      <c r="E19" s="44">
        <v>530000000</v>
      </c>
      <c r="F19" s="201">
        <f>E19-E20</f>
        <v>424000000</v>
      </c>
      <c r="G19" s="44">
        <f>F19-F20</f>
        <v>318000000</v>
      </c>
      <c r="H19" s="914">
        <f>G19-G20-H20</f>
        <v>121999067</v>
      </c>
      <c r="I19" s="44">
        <f>H19</f>
        <v>121999067</v>
      </c>
      <c r="J19" s="44">
        <f>H19</f>
        <v>121999067</v>
      </c>
    </row>
    <row r="20" spans="1:13" ht="44.25" customHeight="1" x14ac:dyDescent="0.25">
      <c r="B20" s="1269" t="s">
        <v>115</v>
      </c>
      <c r="C20" s="185" t="s">
        <v>62</v>
      </c>
      <c r="D20" s="193">
        <v>0</v>
      </c>
      <c r="E20" s="144">
        <v>106000000</v>
      </c>
      <c r="F20" s="193">
        <v>106000000</v>
      </c>
      <c r="G20" s="206">
        <v>67000000</v>
      </c>
      <c r="H20" s="144">
        <f>107000000+22000933</f>
        <v>129000933</v>
      </c>
      <c r="I20" s="193">
        <v>0</v>
      </c>
      <c r="J20" s="144">
        <f>SUM(E20:I20)</f>
        <v>408000933</v>
      </c>
      <c r="L20">
        <f>31+67</f>
        <v>98</v>
      </c>
    </row>
    <row r="21" spans="1:13" ht="38.25" customHeight="1" thickBot="1" x14ac:dyDescent="0.3">
      <c r="B21" s="1270"/>
      <c r="C21" s="187" t="s">
        <v>63</v>
      </c>
      <c r="D21" s="194">
        <v>0</v>
      </c>
      <c r="E21" s="143">
        <v>0</v>
      </c>
      <c r="F21" s="194">
        <v>0</v>
      </c>
      <c r="G21" s="207">
        <f>106000000-G20</f>
        <v>39000000</v>
      </c>
      <c r="H21" s="915">
        <f>106000000-90000933</f>
        <v>15999067</v>
      </c>
      <c r="I21" s="194">
        <v>106000000</v>
      </c>
      <c r="J21" s="143">
        <f>+G21-H20</f>
        <v>-90000933</v>
      </c>
    </row>
    <row r="22" spans="1:13" ht="37.5" customHeight="1" x14ac:dyDescent="0.25">
      <c r="B22" s="1293" t="s">
        <v>116</v>
      </c>
      <c r="C22" s="185" t="s">
        <v>62</v>
      </c>
      <c r="D22" s="195">
        <v>7608767.1200000001</v>
      </c>
      <c r="E22" s="199">
        <v>10105972.609999999</v>
      </c>
      <c r="F22" s="202">
        <v>6905306.0899999999</v>
      </c>
      <c r="G22" s="195">
        <v>0</v>
      </c>
      <c r="H22" s="189">
        <v>0</v>
      </c>
      <c r="I22" s="204">
        <v>0</v>
      </c>
      <c r="J22" s="189">
        <f>SUM(D22:I22)</f>
        <v>24620045.82</v>
      </c>
    </row>
    <row r="23" spans="1:13" ht="37.5" customHeight="1" thickBot="1" x14ac:dyDescent="0.3">
      <c r="B23" s="1294"/>
      <c r="C23" s="186" t="s">
        <v>63</v>
      </c>
      <c r="D23" s="196">
        <v>0</v>
      </c>
      <c r="E23" s="200">
        <v>0</v>
      </c>
      <c r="F23" s="203">
        <v>0</v>
      </c>
      <c r="G23" s="196">
        <f>G12</f>
        <v>6360000</v>
      </c>
      <c r="H23" s="1019">
        <f>H12</f>
        <v>4240000</v>
      </c>
      <c r="I23" s="190">
        <f>I12</f>
        <v>2120000</v>
      </c>
      <c r="J23" s="190">
        <f>+G23+(H23/4)</f>
        <v>7420000</v>
      </c>
    </row>
    <row r="24" spans="1:13" ht="36.75" customHeight="1" thickBot="1" x14ac:dyDescent="0.3">
      <c r="B24" s="1286" t="s">
        <v>55</v>
      </c>
      <c r="C24" s="379" t="s">
        <v>62</v>
      </c>
      <c r="D24" s="197">
        <f>D22</f>
        <v>7608767.1200000001</v>
      </c>
      <c r="E24" s="50">
        <f t="shared" ref="E24:I25" si="1">E20+E22</f>
        <v>116105972.61</v>
      </c>
      <c r="F24" s="197">
        <f t="shared" si="1"/>
        <v>112905306.09</v>
      </c>
      <c r="G24" s="49">
        <f>G20+G22</f>
        <v>67000000</v>
      </c>
      <c r="H24" s="50">
        <f>H20+H22</f>
        <v>129000933</v>
      </c>
      <c r="I24" s="197">
        <f t="shared" si="1"/>
        <v>0</v>
      </c>
      <c r="J24" s="50">
        <f>J20+J22</f>
        <v>432620978.81999999</v>
      </c>
      <c r="M24" s="56"/>
    </row>
    <row r="25" spans="1:13" ht="36.75" customHeight="1" thickBot="1" x14ac:dyDescent="0.3">
      <c r="B25" s="1287"/>
      <c r="C25" s="380" t="s">
        <v>63</v>
      </c>
      <c r="D25" s="197">
        <f>D23</f>
        <v>0</v>
      </c>
      <c r="E25" s="50">
        <f t="shared" si="1"/>
        <v>0</v>
      </c>
      <c r="F25" s="197">
        <f t="shared" si="1"/>
        <v>0</v>
      </c>
      <c r="G25" s="49">
        <f>G21+G23</f>
        <v>45360000</v>
      </c>
      <c r="H25" s="916">
        <f>H21+H23</f>
        <v>20239067</v>
      </c>
      <c r="I25" s="197">
        <f>I21+I23</f>
        <v>108120000</v>
      </c>
      <c r="J25" s="50">
        <f>J21+J23</f>
        <v>-82580933</v>
      </c>
      <c r="M25" s="56"/>
    </row>
    <row r="26" spans="1:13" ht="36.75" customHeight="1" x14ac:dyDescent="0.25">
      <c r="B26" s="378"/>
      <c r="C26" s="378"/>
      <c r="D26" s="378"/>
      <c r="E26" s="378"/>
      <c r="F26" s="378"/>
      <c r="G26" s="378"/>
      <c r="H26" s="378"/>
      <c r="I26" s="378"/>
      <c r="J26" s="378"/>
      <c r="M26" s="56"/>
    </row>
    <row r="27" spans="1:13" ht="22.5" x14ac:dyDescent="0.3">
      <c r="A27" s="31"/>
      <c r="B27" s="57"/>
      <c r="C27" s="57"/>
      <c r="D27" s="57"/>
      <c r="E27" s="57"/>
      <c r="F27" s="57"/>
      <c r="G27" s="57"/>
      <c r="H27" s="702">
        <f>+'-- Роғун'!L146</f>
        <v>15999067</v>
      </c>
      <c r="I27" s="57"/>
      <c r="J27" s="31"/>
    </row>
    <row r="28" spans="1:13" ht="22.5" x14ac:dyDescent="0.3">
      <c r="A28" s="31"/>
      <c r="B28" s="8" t="s">
        <v>29</v>
      </c>
      <c r="C28" s="26">
        <v>92640.5</v>
      </c>
      <c r="D28" s="9" t="s">
        <v>32</v>
      </c>
      <c r="E28" s="6"/>
      <c r="F28" s="6"/>
      <c r="G28" s="10"/>
      <c r="H28" s="10"/>
      <c r="I28" s="6"/>
      <c r="J28" s="377"/>
    </row>
    <row r="29" spans="1:13" ht="22.5" x14ac:dyDescent="0.3">
      <c r="A29" s="31"/>
      <c r="B29" s="6"/>
      <c r="C29" s="9" t="s">
        <v>117</v>
      </c>
      <c r="D29" s="4"/>
      <c r="E29" s="15"/>
      <c r="F29" s="6"/>
      <c r="G29" s="23"/>
      <c r="H29" s="703">
        <f>106000000-H27</f>
        <v>90000933</v>
      </c>
      <c r="I29" s="208"/>
      <c r="J29" s="27">
        <f>231220/C28/1000</f>
        <v>2.4958846292928039E-3</v>
      </c>
    </row>
    <row r="30" spans="1:13" ht="22.5" x14ac:dyDescent="0.3">
      <c r="A30" s="31"/>
      <c r="B30" s="31"/>
      <c r="C30" s="9" t="s">
        <v>118</v>
      </c>
      <c r="D30" s="31"/>
      <c r="E30" s="31"/>
      <c r="F30" s="31"/>
      <c r="G30" s="31"/>
      <c r="H30" s="31"/>
      <c r="I30" s="31"/>
      <c r="J30" s="27" t="e">
        <f>(231220*100%)/#REF!</f>
        <v>#REF!</v>
      </c>
    </row>
    <row r="31" spans="1:13" ht="22.5" x14ac:dyDescent="0.3">
      <c r="A31" s="31"/>
      <c r="C31" s="31"/>
      <c r="D31" s="31"/>
      <c r="E31" s="31"/>
      <c r="F31" s="31"/>
      <c r="G31" s="31"/>
      <c r="H31" s="31"/>
      <c r="I31" s="31"/>
      <c r="J31" s="31"/>
    </row>
  </sheetData>
  <mergeCells count="25">
    <mergeCell ref="B24:B25"/>
    <mergeCell ref="B2:J2"/>
    <mergeCell ref="B4:J4"/>
    <mergeCell ref="B19:C19"/>
    <mergeCell ref="B18:C18"/>
    <mergeCell ref="B22:B23"/>
    <mergeCell ref="J6:J7"/>
    <mergeCell ref="J10:J11"/>
    <mergeCell ref="I17:J17"/>
    <mergeCell ref="A18:A19"/>
    <mergeCell ref="B20:B21"/>
    <mergeCell ref="I5:J5"/>
    <mergeCell ref="B16:J16"/>
    <mergeCell ref="H10:H11"/>
    <mergeCell ref="I10:I11"/>
    <mergeCell ref="B13:C13"/>
    <mergeCell ref="B6:B7"/>
    <mergeCell ref="C6:C7"/>
    <mergeCell ref="D6:I6"/>
    <mergeCell ref="B8:B12"/>
    <mergeCell ref="C8:C11"/>
    <mergeCell ref="D10:D11"/>
    <mergeCell ref="E10:E11"/>
    <mergeCell ref="F10:F11"/>
    <mergeCell ref="G10:G11"/>
  </mergeCells>
  <pageMargins left="0.19685039370078741" right="0.19685039370078741" top="0.2" bottom="0.2" header="0.22" footer="0.2"/>
  <pageSetup paperSize="9" scale="48" orientation="landscape" verticalDpi="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8"/>
  <sheetViews>
    <sheetView workbookViewId="0">
      <pane ySplit="12" topLeftCell="A127" activePane="bottomLeft" state="frozen"/>
      <selection activeCell="A3" sqref="A3"/>
      <selection pane="bottomLeft" activeCell="D139" sqref="D139"/>
    </sheetView>
  </sheetViews>
  <sheetFormatPr defaultRowHeight="15" x14ac:dyDescent="0.25"/>
  <cols>
    <col min="1" max="1" width="6.7109375" style="679" customWidth="1"/>
    <col min="2" max="2" width="41.85546875" style="490" customWidth="1"/>
    <col min="3" max="3" width="17.85546875" style="490" customWidth="1"/>
    <col min="4" max="4" width="17.42578125" style="490" customWidth="1"/>
    <col min="5" max="5" width="18.7109375" style="490" customWidth="1"/>
    <col min="6" max="6" width="12.42578125" style="490" customWidth="1"/>
    <col min="7" max="7" width="11.28515625" style="490" customWidth="1"/>
    <col min="8" max="8" width="13.140625" style="490" customWidth="1"/>
    <col min="9" max="9" width="26.28515625" style="490" customWidth="1"/>
    <col min="10" max="11" width="27.28515625" style="490" customWidth="1"/>
    <col min="12" max="12" width="29.7109375" style="490" customWidth="1"/>
    <col min="13" max="13" width="45.85546875" style="490" customWidth="1"/>
    <col min="14" max="14" width="9.140625" style="490"/>
    <col min="15" max="15" width="17.7109375" style="490" bestFit="1" customWidth="1"/>
    <col min="16" max="16384" width="9.140625" style="490"/>
  </cols>
  <sheetData>
    <row r="1" spans="1:14" ht="34.5" customHeight="1" x14ac:dyDescent="0.25">
      <c r="A1" s="1297" t="s">
        <v>286</v>
      </c>
      <c r="B1" s="1297"/>
      <c r="C1" s="1297"/>
      <c r="D1" s="1297"/>
      <c r="E1" s="1297"/>
      <c r="F1" s="1297"/>
      <c r="G1" s="1297"/>
      <c r="H1" s="1297"/>
      <c r="I1" s="1297"/>
      <c r="J1" s="1297"/>
      <c r="K1" s="1297"/>
      <c r="L1" s="1297"/>
    </row>
    <row r="2" spans="1:14" ht="24.75" customHeight="1" thickBot="1" x14ac:dyDescent="0.3">
      <c r="A2" s="1195" t="s">
        <v>49</v>
      </c>
      <c r="B2" s="1195"/>
      <c r="C2" s="1195"/>
      <c r="D2" s="1195"/>
      <c r="E2" s="1195"/>
      <c r="F2" s="1195"/>
      <c r="G2" s="1195"/>
      <c r="H2" s="1195"/>
      <c r="I2" s="1195"/>
      <c r="J2" s="1195"/>
      <c r="K2" s="1195"/>
      <c r="L2" s="1195"/>
    </row>
    <row r="3" spans="1:14" s="499" customFormat="1" ht="48" customHeight="1" thickBot="1" x14ac:dyDescent="0.3">
      <c r="A3" s="491"/>
      <c r="B3" s="492" t="s">
        <v>197</v>
      </c>
      <c r="C3" s="493" t="s">
        <v>198</v>
      </c>
      <c r="D3" s="493" t="s">
        <v>199</v>
      </c>
      <c r="E3" s="494" t="s">
        <v>200</v>
      </c>
      <c r="F3" s="495" t="s">
        <v>201</v>
      </c>
      <c r="G3" s="496" t="s">
        <v>202</v>
      </c>
      <c r="H3" s="497" t="s">
        <v>203</v>
      </c>
      <c r="I3" s="498" t="s">
        <v>276</v>
      </c>
      <c r="J3" s="498" t="s">
        <v>277</v>
      </c>
      <c r="K3" s="498" t="s">
        <v>278</v>
      </c>
      <c r="L3" s="498" t="s">
        <v>279</v>
      </c>
    </row>
    <row r="4" spans="1:14" s="499" customFormat="1" ht="5.25" hidden="1" customHeight="1" x14ac:dyDescent="0.25">
      <c r="A4" s="500">
        <v>1</v>
      </c>
      <c r="B4" s="1299" t="s">
        <v>204</v>
      </c>
      <c r="C4" s="501">
        <v>42839</v>
      </c>
      <c r="D4" s="501">
        <v>42855</v>
      </c>
      <c r="E4" s="502">
        <v>530000000</v>
      </c>
      <c r="F4" s="503">
        <v>0.02</v>
      </c>
      <c r="G4" s="504">
        <v>17</v>
      </c>
      <c r="H4" s="505">
        <v>365</v>
      </c>
      <c r="I4" s="506">
        <f>E4*F4*G4/H4</f>
        <v>493698.63013698632</v>
      </c>
      <c r="J4" s="506">
        <f>F4*G4*H4/I4</f>
        <v>2.513679245283019E-4</v>
      </c>
      <c r="K4" s="506"/>
      <c r="L4" s="506">
        <v>0</v>
      </c>
    </row>
    <row r="5" spans="1:14" ht="15.75" hidden="1" thickBot="1" x14ac:dyDescent="0.25">
      <c r="A5" s="507">
        <v>2</v>
      </c>
      <c r="B5" s="1300"/>
      <c r="C5" s="508">
        <v>42856</v>
      </c>
      <c r="D5" s="508">
        <v>42886</v>
      </c>
      <c r="E5" s="509">
        <v>530000000</v>
      </c>
      <c r="F5" s="510">
        <v>0.02</v>
      </c>
      <c r="G5" s="511">
        <f>D5-C5+1</f>
        <v>31</v>
      </c>
      <c r="H5" s="512">
        <v>365</v>
      </c>
      <c r="I5" s="513">
        <f t="shared" ref="I5:J12" si="0">E5*F5*G5/H5</f>
        <v>900273.9726027397</v>
      </c>
      <c r="J5" s="513">
        <f t="shared" si="0"/>
        <v>2.513679245283019E-4</v>
      </c>
      <c r="K5" s="513"/>
      <c r="L5" s="513">
        <v>0</v>
      </c>
    </row>
    <row r="6" spans="1:14" ht="15.75" hidden="1" thickBot="1" x14ac:dyDescent="0.25">
      <c r="A6" s="507">
        <v>3</v>
      </c>
      <c r="B6" s="1300"/>
      <c r="C6" s="508">
        <v>42887</v>
      </c>
      <c r="D6" s="508">
        <v>42916</v>
      </c>
      <c r="E6" s="509">
        <v>530000000</v>
      </c>
      <c r="F6" s="510">
        <v>0.02</v>
      </c>
      <c r="G6" s="511">
        <f>D6-C6+1</f>
        <v>30</v>
      </c>
      <c r="H6" s="512">
        <v>365</v>
      </c>
      <c r="I6" s="513">
        <f t="shared" si="0"/>
        <v>871232.87671232875</v>
      </c>
      <c r="J6" s="513">
        <f t="shared" si="0"/>
        <v>2.513679245283019E-4</v>
      </c>
      <c r="K6" s="513"/>
      <c r="L6" s="513">
        <v>0</v>
      </c>
    </row>
    <row r="7" spans="1:14" ht="15.75" hidden="1" thickBot="1" x14ac:dyDescent="0.25">
      <c r="A7" s="507">
        <v>4</v>
      </c>
      <c r="B7" s="1300"/>
      <c r="C7" s="508">
        <v>42917</v>
      </c>
      <c r="D7" s="508">
        <v>42947</v>
      </c>
      <c r="E7" s="509">
        <v>530000000</v>
      </c>
      <c r="F7" s="510">
        <v>0.02</v>
      </c>
      <c r="G7" s="511">
        <v>31</v>
      </c>
      <c r="H7" s="512">
        <v>365</v>
      </c>
      <c r="I7" s="514">
        <v>59009616</v>
      </c>
      <c r="J7" s="514">
        <f t="shared" si="0"/>
        <v>3.8349681855242039E-6</v>
      </c>
      <c r="K7" s="514"/>
      <c r="L7" s="514">
        <v>0</v>
      </c>
    </row>
    <row r="8" spans="1:14" ht="15.75" hidden="1" thickBot="1" x14ac:dyDescent="0.25">
      <c r="A8" s="507">
        <v>5</v>
      </c>
      <c r="B8" s="1300"/>
      <c r="C8" s="508">
        <v>42948</v>
      </c>
      <c r="D8" s="508">
        <v>42978</v>
      </c>
      <c r="E8" s="509">
        <v>530000000</v>
      </c>
      <c r="F8" s="510">
        <v>0.02</v>
      </c>
      <c r="G8" s="511">
        <v>31</v>
      </c>
      <c r="H8" s="512">
        <v>365</v>
      </c>
      <c r="I8" s="513">
        <f t="shared" si="0"/>
        <v>900273.9726027397</v>
      </c>
      <c r="J8" s="513">
        <f t="shared" si="0"/>
        <v>2.513679245283019E-4</v>
      </c>
      <c r="K8" s="513"/>
      <c r="L8" s="513">
        <v>0</v>
      </c>
    </row>
    <row r="9" spans="1:14" ht="15.75" hidden="1" thickBot="1" x14ac:dyDescent="0.25">
      <c r="A9" s="507">
        <v>6</v>
      </c>
      <c r="B9" s="1300"/>
      <c r="C9" s="508">
        <v>42979</v>
      </c>
      <c r="D9" s="508">
        <v>43008</v>
      </c>
      <c r="E9" s="509">
        <v>530000000</v>
      </c>
      <c r="F9" s="510">
        <v>0.02</v>
      </c>
      <c r="G9" s="511">
        <v>30</v>
      </c>
      <c r="H9" s="512">
        <v>365</v>
      </c>
      <c r="I9" s="513">
        <f t="shared" si="0"/>
        <v>871232.87671232875</v>
      </c>
      <c r="J9" s="513">
        <f t="shared" si="0"/>
        <v>2.513679245283019E-4</v>
      </c>
      <c r="K9" s="513"/>
      <c r="L9" s="513">
        <v>0</v>
      </c>
    </row>
    <row r="10" spans="1:14" ht="15.75" hidden="1" thickBot="1" x14ac:dyDescent="0.25">
      <c r="A10" s="507">
        <v>7</v>
      </c>
      <c r="B10" s="1300"/>
      <c r="C10" s="508">
        <v>43009</v>
      </c>
      <c r="D10" s="508">
        <v>43039</v>
      </c>
      <c r="E10" s="509">
        <v>530000000</v>
      </c>
      <c r="F10" s="510">
        <v>0.02</v>
      </c>
      <c r="G10" s="511">
        <f>D10-C10+1</f>
        <v>31</v>
      </c>
      <c r="H10" s="512">
        <v>365</v>
      </c>
      <c r="I10" s="514">
        <f t="shared" si="0"/>
        <v>900273.9726027397</v>
      </c>
      <c r="J10" s="514">
        <f t="shared" si="0"/>
        <v>2.513679245283019E-4</v>
      </c>
      <c r="K10" s="514"/>
      <c r="L10" s="514">
        <v>0</v>
      </c>
    </row>
    <row r="11" spans="1:14" ht="15.75" hidden="1" thickBot="1" x14ac:dyDescent="0.25">
      <c r="A11" s="507">
        <v>8</v>
      </c>
      <c r="B11" s="1300"/>
      <c r="C11" s="508">
        <v>43040</v>
      </c>
      <c r="D11" s="508">
        <v>43069</v>
      </c>
      <c r="E11" s="509">
        <v>530000000</v>
      </c>
      <c r="F11" s="510">
        <v>0.02</v>
      </c>
      <c r="G11" s="511">
        <f>D11-C11+1</f>
        <v>30</v>
      </c>
      <c r="H11" s="512">
        <v>365</v>
      </c>
      <c r="I11" s="513">
        <f t="shared" si="0"/>
        <v>871232.87671232875</v>
      </c>
      <c r="J11" s="513">
        <f t="shared" si="0"/>
        <v>2.513679245283019E-4</v>
      </c>
      <c r="K11" s="513"/>
      <c r="L11" s="513">
        <v>0</v>
      </c>
    </row>
    <row r="12" spans="1:14" ht="15.75" hidden="1" thickBot="1" x14ac:dyDescent="0.25">
      <c r="A12" s="515">
        <v>9</v>
      </c>
      <c r="B12" s="1300"/>
      <c r="C12" s="516">
        <v>43070</v>
      </c>
      <c r="D12" s="516">
        <v>43100</v>
      </c>
      <c r="E12" s="517">
        <v>530000000</v>
      </c>
      <c r="F12" s="518">
        <v>0.02</v>
      </c>
      <c r="G12" s="519">
        <v>31</v>
      </c>
      <c r="H12" s="520">
        <v>365</v>
      </c>
      <c r="I12" s="521">
        <f t="shared" si="0"/>
        <v>900273.9726027397</v>
      </c>
      <c r="J12" s="521">
        <f t="shared" si="0"/>
        <v>2.513679245283019E-4</v>
      </c>
      <c r="K12" s="521"/>
      <c r="L12" s="521">
        <v>0</v>
      </c>
    </row>
    <row r="13" spans="1:14" ht="36" customHeight="1" thickBot="1" x14ac:dyDescent="0.3">
      <c r="A13" s="522" t="s">
        <v>91</v>
      </c>
      <c r="B13" s="523" t="s">
        <v>195</v>
      </c>
      <c r="C13" s="524">
        <v>42839</v>
      </c>
      <c r="D13" s="922">
        <v>43114</v>
      </c>
      <c r="E13" s="525">
        <v>530000000</v>
      </c>
      <c r="F13" s="526">
        <v>0.02</v>
      </c>
      <c r="G13" s="527">
        <f>SUM(G4:G12)</f>
        <v>262</v>
      </c>
      <c r="H13" s="528">
        <v>365</v>
      </c>
      <c r="I13" s="529">
        <f>SUM(I4:I12)</f>
        <v>65718109.150684938</v>
      </c>
      <c r="J13" s="529">
        <v>7608767.1200000001</v>
      </c>
      <c r="K13" s="529">
        <f>+I13-J13</f>
        <v>58109342.030684941</v>
      </c>
      <c r="L13" s="529">
        <v>0</v>
      </c>
      <c r="M13" s="530">
        <f>+'[2]15,01,2021'!I13</f>
        <v>7608767.1232876722</v>
      </c>
      <c r="N13" s="490" t="s">
        <v>205</v>
      </c>
    </row>
    <row r="14" spans="1:14" ht="20.25" hidden="1" customHeight="1" x14ac:dyDescent="0.2">
      <c r="A14" s="522" t="s">
        <v>91</v>
      </c>
      <c r="B14" s="1300" t="s">
        <v>206</v>
      </c>
      <c r="C14" s="531">
        <v>43101</v>
      </c>
      <c r="D14" s="531">
        <v>43114</v>
      </c>
      <c r="E14" s="532">
        <v>530000000</v>
      </c>
      <c r="F14" s="533">
        <v>0.02</v>
      </c>
      <c r="G14" s="534">
        <v>14</v>
      </c>
      <c r="H14" s="535">
        <v>365</v>
      </c>
      <c r="I14" s="536">
        <f>E14*F14*G14/H14</f>
        <v>406575.34246575343</v>
      </c>
      <c r="J14" s="536">
        <f>F14*G14*H14/I14</f>
        <v>2.513679245283019E-4</v>
      </c>
      <c r="K14" s="529">
        <f t="shared" ref="K14:K77" si="1">+I14-J14</f>
        <v>406575.34221438551</v>
      </c>
      <c r="L14" s="536">
        <v>0</v>
      </c>
      <c r="M14" s="537"/>
    </row>
    <row r="15" spans="1:14" ht="17.25" hidden="1" customHeight="1" x14ac:dyDescent="0.2">
      <c r="A15" s="522" t="s">
        <v>91</v>
      </c>
      <c r="B15" s="1300"/>
      <c r="C15" s="538">
        <v>43115</v>
      </c>
      <c r="D15" s="538">
        <v>43131</v>
      </c>
      <c r="E15" s="539">
        <v>530000000</v>
      </c>
      <c r="F15" s="540">
        <v>0.02</v>
      </c>
      <c r="G15" s="541">
        <v>17</v>
      </c>
      <c r="H15" s="542">
        <v>365</v>
      </c>
      <c r="I15" s="543">
        <f t="shared" ref="I15:J30" si="2">E15*F15*G15/H15</f>
        <v>493698.63013698632</v>
      </c>
      <c r="J15" s="543">
        <f t="shared" si="2"/>
        <v>2.513679245283019E-4</v>
      </c>
      <c r="K15" s="529">
        <f t="shared" si="1"/>
        <v>493698.6298856184</v>
      </c>
      <c r="L15" s="543">
        <v>0</v>
      </c>
      <c r="M15" s="537"/>
    </row>
    <row r="16" spans="1:14" ht="17.25" hidden="1" customHeight="1" x14ac:dyDescent="0.2">
      <c r="A16" s="522" t="s">
        <v>91</v>
      </c>
      <c r="B16" s="1300"/>
      <c r="C16" s="538">
        <v>43132</v>
      </c>
      <c r="D16" s="538">
        <v>43159</v>
      </c>
      <c r="E16" s="539">
        <v>530000000</v>
      </c>
      <c r="F16" s="540">
        <v>0.02</v>
      </c>
      <c r="G16" s="541">
        <v>28</v>
      </c>
      <c r="H16" s="542">
        <v>365</v>
      </c>
      <c r="I16" s="543">
        <f t="shared" si="2"/>
        <v>813150.68493150687</v>
      </c>
      <c r="J16" s="543">
        <f t="shared" si="2"/>
        <v>2.513679245283019E-4</v>
      </c>
      <c r="K16" s="529">
        <f t="shared" si="1"/>
        <v>813150.68468013895</v>
      </c>
      <c r="L16" s="543">
        <v>0</v>
      </c>
      <c r="M16" s="537"/>
    </row>
    <row r="17" spans="1:13" ht="17.25" hidden="1" customHeight="1" x14ac:dyDescent="0.2">
      <c r="A17" s="522" t="s">
        <v>91</v>
      </c>
      <c r="B17" s="1300"/>
      <c r="C17" s="538">
        <v>43160</v>
      </c>
      <c r="D17" s="538">
        <v>43190</v>
      </c>
      <c r="E17" s="539">
        <v>530000000</v>
      </c>
      <c r="F17" s="540">
        <v>0.02</v>
      </c>
      <c r="G17" s="541">
        <f t="shared" ref="G17:G22" si="3">D17-C17+1</f>
        <v>31</v>
      </c>
      <c r="H17" s="542">
        <v>365</v>
      </c>
      <c r="I17" s="543">
        <f t="shared" si="2"/>
        <v>900273.9726027397</v>
      </c>
      <c r="J17" s="543">
        <f t="shared" si="2"/>
        <v>2.513679245283019E-4</v>
      </c>
      <c r="K17" s="529">
        <f t="shared" si="1"/>
        <v>900273.97235137178</v>
      </c>
      <c r="L17" s="543">
        <v>0</v>
      </c>
      <c r="M17" s="537" t="s">
        <v>207</v>
      </c>
    </row>
    <row r="18" spans="1:13" ht="17.25" hidden="1" customHeight="1" x14ac:dyDescent="0.2">
      <c r="A18" s="522" t="s">
        <v>91</v>
      </c>
      <c r="B18" s="1300"/>
      <c r="C18" s="538">
        <v>43191</v>
      </c>
      <c r="D18" s="538">
        <v>43204</v>
      </c>
      <c r="E18" s="539">
        <v>530000000</v>
      </c>
      <c r="F18" s="540">
        <v>0.02</v>
      </c>
      <c r="G18" s="541">
        <f t="shared" si="3"/>
        <v>14</v>
      </c>
      <c r="H18" s="542">
        <v>365</v>
      </c>
      <c r="I18" s="543">
        <f t="shared" si="2"/>
        <v>406575.34246575343</v>
      </c>
      <c r="J18" s="543">
        <f t="shared" si="2"/>
        <v>2.513679245283019E-4</v>
      </c>
      <c r="K18" s="529">
        <f t="shared" si="1"/>
        <v>406575.34221438551</v>
      </c>
      <c r="L18" s="543">
        <v>0</v>
      </c>
      <c r="M18" s="537" t="s">
        <v>208</v>
      </c>
    </row>
    <row r="19" spans="1:13" ht="21" hidden="1" customHeight="1" x14ac:dyDescent="0.2">
      <c r="A19" s="522" t="s">
        <v>91</v>
      </c>
      <c r="B19" s="1300"/>
      <c r="C19" s="544">
        <v>43205</v>
      </c>
      <c r="D19" s="544">
        <v>43220</v>
      </c>
      <c r="E19" s="545">
        <v>530000001</v>
      </c>
      <c r="F19" s="546">
        <v>0.02</v>
      </c>
      <c r="G19" s="547">
        <v>16</v>
      </c>
      <c r="H19" s="548">
        <v>365</v>
      </c>
      <c r="I19" s="549">
        <f>E19*F19*G19/H19</f>
        <v>464657.53512328764</v>
      </c>
      <c r="J19" s="549">
        <f>F19*G19*H19/I19</f>
        <v>2.5136792405402281E-4</v>
      </c>
      <c r="K19" s="529">
        <f t="shared" si="1"/>
        <v>464657.53487191972</v>
      </c>
      <c r="L19" s="549">
        <v>0</v>
      </c>
      <c r="M19" s="537"/>
    </row>
    <row r="20" spans="1:13" ht="20.25" hidden="1" customHeight="1" x14ac:dyDescent="0.2">
      <c r="A20" s="522" t="s">
        <v>91</v>
      </c>
      <c r="B20" s="1300"/>
      <c r="C20" s="544">
        <v>43221</v>
      </c>
      <c r="D20" s="544">
        <v>43251</v>
      </c>
      <c r="E20" s="545">
        <v>530000000</v>
      </c>
      <c r="F20" s="546">
        <v>0.02</v>
      </c>
      <c r="G20" s="547">
        <f t="shared" si="3"/>
        <v>31</v>
      </c>
      <c r="H20" s="548">
        <v>365</v>
      </c>
      <c r="I20" s="549">
        <f t="shared" si="2"/>
        <v>900273.9726027397</v>
      </c>
      <c r="J20" s="549">
        <f t="shared" si="2"/>
        <v>2.513679245283019E-4</v>
      </c>
      <c r="K20" s="529">
        <f t="shared" si="1"/>
        <v>900273.97235137178</v>
      </c>
      <c r="L20" s="549">
        <v>0</v>
      </c>
      <c r="M20" s="537"/>
    </row>
    <row r="21" spans="1:13" ht="20.25" hidden="1" customHeight="1" x14ac:dyDescent="0.2">
      <c r="A21" s="522" t="s">
        <v>91</v>
      </c>
      <c r="B21" s="1300"/>
      <c r="C21" s="544">
        <v>43252</v>
      </c>
      <c r="D21" s="544">
        <v>43281</v>
      </c>
      <c r="E21" s="545">
        <v>530000000</v>
      </c>
      <c r="F21" s="546">
        <v>0.02</v>
      </c>
      <c r="G21" s="547">
        <f t="shared" si="3"/>
        <v>30</v>
      </c>
      <c r="H21" s="548">
        <v>365</v>
      </c>
      <c r="I21" s="549">
        <f t="shared" si="2"/>
        <v>871232.87671232875</v>
      </c>
      <c r="J21" s="549">
        <f t="shared" si="2"/>
        <v>2.513679245283019E-4</v>
      </c>
      <c r="K21" s="529">
        <f t="shared" si="1"/>
        <v>871232.87646096083</v>
      </c>
      <c r="L21" s="549">
        <v>0</v>
      </c>
      <c r="M21" s="537"/>
    </row>
    <row r="22" spans="1:13" ht="20.25" hidden="1" customHeight="1" x14ac:dyDescent="0.2">
      <c r="A22" s="522" t="s">
        <v>91</v>
      </c>
      <c r="B22" s="1300"/>
      <c r="C22" s="544">
        <v>43282</v>
      </c>
      <c r="D22" s="544">
        <v>43295</v>
      </c>
      <c r="E22" s="545">
        <v>530000000</v>
      </c>
      <c r="F22" s="546">
        <v>0.02</v>
      </c>
      <c r="G22" s="547">
        <f t="shared" si="3"/>
        <v>14</v>
      </c>
      <c r="H22" s="548">
        <v>365</v>
      </c>
      <c r="I22" s="549">
        <f t="shared" si="2"/>
        <v>406575.34246575343</v>
      </c>
      <c r="J22" s="549">
        <f t="shared" si="2"/>
        <v>2.513679245283019E-4</v>
      </c>
      <c r="K22" s="529">
        <f t="shared" si="1"/>
        <v>406575.34221438551</v>
      </c>
      <c r="L22" s="549">
        <v>0</v>
      </c>
      <c r="M22" s="537" t="s">
        <v>209</v>
      </c>
    </row>
    <row r="23" spans="1:13" ht="18.75" hidden="1" customHeight="1" x14ac:dyDescent="0.2">
      <c r="A23" s="522" t="s">
        <v>91</v>
      </c>
      <c r="B23" s="1300"/>
      <c r="C23" s="550">
        <v>43296</v>
      </c>
      <c r="D23" s="550">
        <v>43312</v>
      </c>
      <c r="E23" s="551">
        <v>530000000</v>
      </c>
      <c r="F23" s="552">
        <v>0.02</v>
      </c>
      <c r="G23" s="553">
        <f>D23-C23+1</f>
        <v>17</v>
      </c>
      <c r="H23" s="554">
        <v>365</v>
      </c>
      <c r="I23" s="555">
        <f>E23*F23*G23/H23</f>
        <v>493698.63013698632</v>
      </c>
      <c r="J23" s="556">
        <f>2642739.73+3020273.97</f>
        <v>5663013.7000000002</v>
      </c>
      <c r="K23" s="529">
        <f t="shared" si="1"/>
        <v>-5169315.0698630139</v>
      </c>
      <c r="L23" s="555">
        <v>0</v>
      </c>
      <c r="M23" s="537"/>
    </row>
    <row r="24" spans="1:13" ht="18" hidden="1" customHeight="1" x14ac:dyDescent="0.2">
      <c r="A24" s="522" t="s">
        <v>91</v>
      </c>
      <c r="B24" s="1300"/>
      <c r="C24" s="550">
        <v>43313</v>
      </c>
      <c r="D24" s="550">
        <v>43313</v>
      </c>
      <c r="E24" s="551">
        <v>530000000</v>
      </c>
      <c r="F24" s="552">
        <v>0.02</v>
      </c>
      <c r="G24" s="553">
        <f>D24-C24+1</f>
        <v>1</v>
      </c>
      <c r="H24" s="554">
        <v>365</v>
      </c>
      <c r="I24" s="555">
        <f>E24*F24*G24/H24</f>
        <v>29041.095890410958</v>
      </c>
      <c r="J24" s="555">
        <f t="shared" si="2"/>
        <v>2.513679245283019E-4</v>
      </c>
      <c r="K24" s="529">
        <f t="shared" si="1"/>
        <v>29041.095639043033</v>
      </c>
      <c r="L24" s="555">
        <v>0</v>
      </c>
      <c r="M24" s="537"/>
    </row>
    <row r="25" spans="1:13" ht="18.75" hidden="1" customHeight="1" x14ac:dyDescent="0.2">
      <c r="A25" s="522" t="s">
        <v>91</v>
      </c>
      <c r="B25" s="1300"/>
      <c r="C25" s="550">
        <v>43314</v>
      </c>
      <c r="D25" s="550">
        <v>43342</v>
      </c>
      <c r="E25" s="551">
        <f>530000000-L25</f>
        <v>464000000</v>
      </c>
      <c r="F25" s="552">
        <v>0.02</v>
      </c>
      <c r="G25" s="553">
        <f>D25-C25+1</f>
        <v>29</v>
      </c>
      <c r="H25" s="554">
        <v>365</v>
      </c>
      <c r="I25" s="555">
        <f>E25*F25*G25/H25</f>
        <v>737315.06849315064</v>
      </c>
      <c r="J25" s="555">
        <f>F25*G25*H25/I25</f>
        <v>2.871228448275862E-4</v>
      </c>
      <c r="K25" s="529">
        <f t="shared" si="1"/>
        <v>737315.06820602785</v>
      </c>
      <c r="L25" s="556">
        <v>66000000</v>
      </c>
      <c r="M25" s="537" t="s">
        <v>210</v>
      </c>
    </row>
    <row r="26" spans="1:13" ht="18.75" hidden="1" customHeight="1" x14ac:dyDescent="0.2">
      <c r="A26" s="522" t="s">
        <v>91</v>
      </c>
      <c r="B26" s="1300"/>
      <c r="C26" s="550">
        <v>43343</v>
      </c>
      <c r="D26" s="550">
        <v>43343</v>
      </c>
      <c r="E26" s="551">
        <f>E25-L26</f>
        <v>424000000</v>
      </c>
      <c r="F26" s="552">
        <v>0.02</v>
      </c>
      <c r="G26" s="553">
        <v>1</v>
      </c>
      <c r="H26" s="554">
        <v>365</v>
      </c>
      <c r="I26" s="555">
        <f>E26*F26*G26/H26</f>
        <v>23232.876712328769</v>
      </c>
      <c r="J26" s="555">
        <f>F26*G26*H26/I26</f>
        <v>3.1420990566037734E-4</v>
      </c>
      <c r="K26" s="529">
        <f t="shared" si="1"/>
        <v>23232.876398118864</v>
      </c>
      <c r="L26" s="556">
        <v>40000000</v>
      </c>
      <c r="M26" s="537" t="s">
        <v>210</v>
      </c>
    </row>
    <row r="27" spans="1:13" ht="21" hidden="1" customHeight="1" x14ac:dyDescent="0.2">
      <c r="A27" s="522" t="s">
        <v>91</v>
      </c>
      <c r="B27" s="1300"/>
      <c r="C27" s="550">
        <v>43344</v>
      </c>
      <c r="D27" s="550">
        <v>43373</v>
      </c>
      <c r="E27" s="551">
        <f>E26</f>
        <v>424000000</v>
      </c>
      <c r="F27" s="552">
        <v>0.02</v>
      </c>
      <c r="G27" s="553">
        <f>D27-C27+1</f>
        <v>30</v>
      </c>
      <c r="H27" s="554">
        <v>365</v>
      </c>
      <c r="I27" s="555">
        <f t="shared" si="2"/>
        <v>696986.30136986298</v>
      </c>
      <c r="J27" s="555">
        <f>F27*G27*H27/I27</f>
        <v>3.1420990566037739E-4</v>
      </c>
      <c r="K27" s="529">
        <f t="shared" si="1"/>
        <v>696986.30105565302</v>
      </c>
      <c r="L27" s="555">
        <v>0</v>
      </c>
      <c r="M27" s="537"/>
    </row>
    <row r="28" spans="1:13" ht="18" hidden="1" customHeight="1" x14ac:dyDescent="0.2">
      <c r="A28" s="522" t="s">
        <v>91</v>
      </c>
      <c r="B28" s="1300"/>
      <c r="C28" s="550">
        <v>43374</v>
      </c>
      <c r="D28" s="550">
        <v>43387</v>
      </c>
      <c r="E28" s="551">
        <v>424000000</v>
      </c>
      <c r="F28" s="552">
        <v>0.02</v>
      </c>
      <c r="G28" s="553">
        <v>14</v>
      </c>
      <c r="H28" s="554">
        <v>365</v>
      </c>
      <c r="I28" s="555">
        <f t="shared" si="2"/>
        <v>325260.27397260274</v>
      </c>
      <c r="J28" s="556">
        <v>2305534.25</v>
      </c>
      <c r="K28" s="529">
        <f t="shared" si="1"/>
        <v>-1980273.9760273972</v>
      </c>
      <c r="L28" s="555">
        <v>0</v>
      </c>
      <c r="M28" s="537" t="s">
        <v>211</v>
      </c>
    </row>
    <row r="29" spans="1:13" ht="18.75" hidden="1" customHeight="1" x14ac:dyDescent="0.2">
      <c r="A29" s="522" t="s">
        <v>91</v>
      </c>
      <c r="B29" s="1300"/>
      <c r="C29" s="557">
        <v>43388</v>
      </c>
      <c r="D29" s="557">
        <v>43404</v>
      </c>
      <c r="E29" s="558">
        <v>424000000</v>
      </c>
      <c r="F29" s="559">
        <v>0.02</v>
      </c>
      <c r="G29" s="560">
        <v>17</v>
      </c>
      <c r="H29" s="561">
        <v>365</v>
      </c>
      <c r="I29" s="562">
        <f>E29*F29*G29/H29</f>
        <v>394958.90410958906</v>
      </c>
      <c r="J29" s="562">
        <f t="shared" si="2"/>
        <v>3.1420990566037734E-4</v>
      </c>
      <c r="K29" s="529">
        <f t="shared" si="1"/>
        <v>394958.90379537916</v>
      </c>
      <c r="L29" s="562">
        <v>0</v>
      </c>
      <c r="M29" s="537"/>
    </row>
    <row r="30" spans="1:13" ht="18" hidden="1" customHeight="1" x14ac:dyDescent="0.2">
      <c r="A30" s="522" t="s">
        <v>91</v>
      </c>
      <c r="B30" s="1300"/>
      <c r="C30" s="557">
        <v>43405</v>
      </c>
      <c r="D30" s="557">
        <v>43434</v>
      </c>
      <c r="E30" s="558">
        <v>424000000</v>
      </c>
      <c r="F30" s="559">
        <v>0.02</v>
      </c>
      <c r="G30" s="560">
        <v>30</v>
      </c>
      <c r="H30" s="561">
        <v>365</v>
      </c>
      <c r="I30" s="562">
        <f t="shared" si="2"/>
        <v>696986.30136986298</v>
      </c>
      <c r="J30" s="562">
        <f t="shared" si="2"/>
        <v>3.1420990566037739E-4</v>
      </c>
      <c r="K30" s="529">
        <f t="shared" si="1"/>
        <v>696986.30105565302</v>
      </c>
      <c r="L30" s="562">
        <v>0</v>
      </c>
      <c r="M30" s="537"/>
    </row>
    <row r="31" spans="1:13" ht="18.75" hidden="1" customHeight="1" x14ac:dyDescent="0.2">
      <c r="A31" s="522" t="s">
        <v>91</v>
      </c>
      <c r="B31" s="1300"/>
      <c r="C31" s="557">
        <v>43435</v>
      </c>
      <c r="D31" s="557">
        <v>43465</v>
      </c>
      <c r="E31" s="558">
        <v>424000000</v>
      </c>
      <c r="F31" s="559">
        <v>0.02</v>
      </c>
      <c r="G31" s="560">
        <v>31</v>
      </c>
      <c r="H31" s="561">
        <v>365</v>
      </c>
      <c r="I31" s="562">
        <f>E31*F31*G31/H31</f>
        <v>720219.17808219173</v>
      </c>
      <c r="J31" s="562">
        <f>F31*G31*H31/I31</f>
        <v>3.1420990566037739E-4</v>
      </c>
      <c r="K31" s="529">
        <f t="shared" si="1"/>
        <v>720219.17776798178</v>
      </c>
      <c r="L31" s="562">
        <v>0</v>
      </c>
      <c r="M31" s="537"/>
    </row>
    <row r="32" spans="1:13" ht="18.75" hidden="1" customHeight="1" x14ac:dyDescent="0.2">
      <c r="A32" s="522" t="s">
        <v>91</v>
      </c>
      <c r="B32" s="1300"/>
      <c r="C32" s="563">
        <v>43466</v>
      </c>
      <c r="D32" s="563">
        <v>43479</v>
      </c>
      <c r="E32" s="564">
        <v>424000000</v>
      </c>
      <c r="F32" s="565">
        <v>0.02</v>
      </c>
      <c r="G32" s="566">
        <v>14</v>
      </c>
      <c r="H32" s="567">
        <v>365</v>
      </c>
      <c r="I32" s="568">
        <f>E32*F32*G32/H32</f>
        <v>325260.27397260274</v>
      </c>
      <c r="J32" s="569">
        <v>2137424.66</v>
      </c>
      <c r="K32" s="529">
        <f t="shared" si="1"/>
        <v>-1812164.3860273974</v>
      </c>
      <c r="L32" s="568">
        <v>0</v>
      </c>
      <c r="M32" s="537"/>
    </row>
    <row r="33" spans="1:13" s="574" customFormat="1" ht="35.25" customHeight="1" thickBot="1" x14ac:dyDescent="0.3">
      <c r="A33" s="522" t="s">
        <v>91</v>
      </c>
      <c r="B33" s="523" t="s">
        <v>196</v>
      </c>
      <c r="C33" s="923">
        <v>43115</v>
      </c>
      <c r="D33" s="570">
        <v>43479</v>
      </c>
      <c r="E33" s="571">
        <v>424000000</v>
      </c>
      <c r="F33" s="526">
        <v>0.02</v>
      </c>
      <c r="G33" s="527">
        <f>SUM(G14:G32)</f>
        <v>379</v>
      </c>
      <c r="H33" s="528">
        <v>365</v>
      </c>
      <c r="I33" s="572">
        <f>SUM(I14:I32)</f>
        <v>10105972.603616439</v>
      </c>
      <c r="J33" s="572">
        <f>SUM(J14:J32)</f>
        <v>10105972.614371851</v>
      </c>
      <c r="K33" s="529">
        <f>+I33-J33</f>
        <v>-1.075541228055954E-2</v>
      </c>
      <c r="L33" s="572">
        <f>SUM(L5:L31)</f>
        <v>106000000</v>
      </c>
      <c r="M33" s="573">
        <f>+'[2]15,01,2021'!I33</f>
        <v>10105972.603616439</v>
      </c>
    </row>
    <row r="34" spans="1:13" ht="9.75" hidden="1" customHeight="1" x14ac:dyDescent="0.25">
      <c r="A34" s="500">
        <v>1</v>
      </c>
      <c r="B34" s="1300" t="s">
        <v>206</v>
      </c>
      <c r="C34" s="531">
        <v>43480</v>
      </c>
      <c r="D34" s="531">
        <v>43496</v>
      </c>
      <c r="E34" s="575">
        <v>424000000</v>
      </c>
      <c r="F34" s="533">
        <v>0.02</v>
      </c>
      <c r="G34" s="534">
        <v>17</v>
      </c>
      <c r="H34" s="535">
        <v>365</v>
      </c>
      <c r="I34" s="536">
        <f>E34*F34*G34/H34</f>
        <v>394958.90410958906</v>
      </c>
      <c r="J34" s="536">
        <f t="shared" ref="I34:J38" si="4">F34*G34*H34/I34</f>
        <v>3.1420990566037734E-4</v>
      </c>
      <c r="K34" s="529">
        <f t="shared" si="1"/>
        <v>394958.90379537916</v>
      </c>
      <c r="L34" s="536">
        <v>0</v>
      </c>
      <c r="M34" s="537"/>
    </row>
    <row r="35" spans="1:13" ht="18" hidden="1" thickBot="1" x14ac:dyDescent="0.3">
      <c r="A35" s="507">
        <v>2</v>
      </c>
      <c r="B35" s="1300"/>
      <c r="C35" s="538">
        <v>43497</v>
      </c>
      <c r="D35" s="538">
        <v>43524</v>
      </c>
      <c r="E35" s="575">
        <v>424000000</v>
      </c>
      <c r="F35" s="540">
        <v>0.02</v>
      </c>
      <c r="G35" s="541">
        <v>28</v>
      </c>
      <c r="H35" s="542">
        <v>365</v>
      </c>
      <c r="I35" s="543">
        <f>E35*F35*G35/H35</f>
        <v>650520.54794520547</v>
      </c>
      <c r="J35" s="543">
        <f t="shared" si="4"/>
        <v>3.1420990566037739E-4</v>
      </c>
      <c r="K35" s="529">
        <f t="shared" si="1"/>
        <v>650520.54763099551</v>
      </c>
      <c r="L35" s="543">
        <v>0</v>
      </c>
      <c r="M35" s="537"/>
    </row>
    <row r="36" spans="1:13" ht="18" hidden="1" thickBot="1" x14ac:dyDescent="0.3">
      <c r="A36" s="507">
        <v>3</v>
      </c>
      <c r="B36" s="1300"/>
      <c r="C36" s="538">
        <v>43525</v>
      </c>
      <c r="D36" s="538">
        <v>43555</v>
      </c>
      <c r="E36" s="575">
        <v>424000000</v>
      </c>
      <c r="F36" s="540">
        <v>0.02</v>
      </c>
      <c r="G36" s="541">
        <f>D36-C36+1</f>
        <v>31</v>
      </c>
      <c r="H36" s="542">
        <v>365</v>
      </c>
      <c r="I36" s="543">
        <f t="shared" si="4"/>
        <v>720219.17808219173</v>
      </c>
      <c r="J36" s="543">
        <f t="shared" si="4"/>
        <v>3.1420990566037739E-4</v>
      </c>
      <c r="K36" s="529">
        <f t="shared" si="1"/>
        <v>720219.17776798178</v>
      </c>
      <c r="L36" s="543">
        <v>0</v>
      </c>
      <c r="M36" s="537"/>
    </row>
    <row r="37" spans="1:13" ht="18" hidden="1" thickBot="1" x14ac:dyDescent="0.3">
      <c r="A37" s="507">
        <v>4</v>
      </c>
      <c r="B37" s="1300"/>
      <c r="C37" s="538">
        <v>43556</v>
      </c>
      <c r="D37" s="538">
        <v>43565</v>
      </c>
      <c r="E37" s="575">
        <v>424000000</v>
      </c>
      <c r="F37" s="540">
        <v>0.02</v>
      </c>
      <c r="G37" s="541">
        <f>D37-C37+1</f>
        <v>10</v>
      </c>
      <c r="H37" s="542">
        <v>365</v>
      </c>
      <c r="I37" s="543">
        <f t="shared" si="4"/>
        <v>232328.76712328766</v>
      </c>
      <c r="J37" s="543">
        <f t="shared" si="4"/>
        <v>3.1420990566037739E-4</v>
      </c>
      <c r="K37" s="529">
        <f t="shared" si="1"/>
        <v>232328.76680907776</v>
      </c>
      <c r="L37" s="543">
        <v>0</v>
      </c>
      <c r="M37" s="537"/>
    </row>
    <row r="38" spans="1:13" ht="18" hidden="1" thickBot="1" x14ac:dyDescent="0.3">
      <c r="A38" s="507">
        <v>5</v>
      </c>
      <c r="B38" s="1300"/>
      <c r="C38" s="538">
        <v>43566</v>
      </c>
      <c r="D38" s="538">
        <v>43569</v>
      </c>
      <c r="E38" s="575">
        <v>424000000</v>
      </c>
      <c r="F38" s="540">
        <v>0.02</v>
      </c>
      <c r="G38" s="541">
        <f>D38-C38+1</f>
        <v>4</v>
      </c>
      <c r="H38" s="542">
        <v>365</v>
      </c>
      <c r="I38" s="543">
        <f t="shared" si="4"/>
        <v>92931.506849315076</v>
      </c>
      <c r="J38" s="576">
        <f>I34+I35+I36+I37+I38</f>
        <v>2090958.9041095888</v>
      </c>
      <c r="K38" s="529">
        <f t="shared" si="1"/>
        <v>-1998027.3972602738</v>
      </c>
      <c r="L38" s="543">
        <v>0</v>
      </c>
      <c r="M38" s="537"/>
    </row>
    <row r="39" spans="1:13" ht="18" hidden="1" thickBot="1" x14ac:dyDescent="0.3">
      <c r="A39" s="507">
        <v>6</v>
      </c>
      <c r="B39" s="1300"/>
      <c r="C39" s="544">
        <v>43570</v>
      </c>
      <c r="D39" s="544">
        <v>43573</v>
      </c>
      <c r="E39" s="575">
        <v>424000002</v>
      </c>
      <c r="F39" s="546">
        <v>0.02</v>
      </c>
      <c r="G39" s="547">
        <f>D39-C39+1</f>
        <v>4</v>
      </c>
      <c r="H39" s="548">
        <v>365</v>
      </c>
      <c r="I39" s="549">
        <f>E39*F39*G39/H39</f>
        <v>92931.507287671237</v>
      </c>
      <c r="J39" s="549">
        <f>F39*G39*H39/I39</f>
        <v>3.1420990417825514E-4</v>
      </c>
      <c r="K39" s="529">
        <f t="shared" si="1"/>
        <v>92931.506973461335</v>
      </c>
      <c r="L39" s="549">
        <v>0</v>
      </c>
      <c r="M39" s="537"/>
    </row>
    <row r="40" spans="1:13" ht="18" hidden="1" thickBot="1" x14ac:dyDescent="0.3">
      <c r="A40" s="507">
        <v>7</v>
      </c>
      <c r="B40" s="1300"/>
      <c r="C40" s="544">
        <v>43574</v>
      </c>
      <c r="D40" s="544">
        <v>43585</v>
      </c>
      <c r="E40" s="575">
        <f>424000000-L40</f>
        <v>318000000</v>
      </c>
      <c r="F40" s="546">
        <v>0.02</v>
      </c>
      <c r="G40" s="547">
        <v>12</v>
      </c>
      <c r="H40" s="548">
        <v>365</v>
      </c>
      <c r="I40" s="549">
        <f>E40*F40*G40/H40</f>
        <v>209095.89041095891</v>
      </c>
      <c r="J40" s="549">
        <f>F40*G40*H40/I40</f>
        <v>4.189465408805031E-4</v>
      </c>
      <c r="K40" s="529">
        <f t="shared" si="1"/>
        <v>209095.88999201235</v>
      </c>
      <c r="L40" s="577">
        <v>106000000</v>
      </c>
      <c r="M40" s="537"/>
    </row>
    <row r="41" spans="1:13" ht="18" hidden="1" thickBot="1" x14ac:dyDescent="0.3">
      <c r="A41" s="507">
        <v>8</v>
      </c>
      <c r="B41" s="1300"/>
      <c r="C41" s="544">
        <v>43586</v>
      </c>
      <c r="D41" s="544">
        <v>43616</v>
      </c>
      <c r="E41" s="575">
        <v>318000000</v>
      </c>
      <c r="F41" s="546">
        <v>0.02</v>
      </c>
      <c r="G41" s="547">
        <f t="shared" ref="G41:G46" si="5">D41-C41+1</f>
        <v>31</v>
      </c>
      <c r="H41" s="548">
        <v>365</v>
      </c>
      <c r="I41" s="549">
        <f t="shared" ref="I41:J43" si="6">E41*F41*G41/H41</f>
        <v>540164.38356164389</v>
      </c>
      <c r="J41" s="549">
        <f t="shared" si="6"/>
        <v>4.189465408805031E-4</v>
      </c>
      <c r="K41" s="529">
        <f t="shared" si="1"/>
        <v>540164.38314269739</v>
      </c>
      <c r="L41" s="549">
        <v>0</v>
      </c>
      <c r="M41" s="537"/>
    </row>
    <row r="42" spans="1:13" ht="18" hidden="1" thickBot="1" x14ac:dyDescent="0.3">
      <c r="A42" s="507">
        <v>9</v>
      </c>
      <c r="B42" s="1300"/>
      <c r="C42" s="544">
        <v>43617</v>
      </c>
      <c r="D42" s="544">
        <v>43646</v>
      </c>
      <c r="E42" s="575">
        <v>318000000</v>
      </c>
      <c r="F42" s="546">
        <v>0.02</v>
      </c>
      <c r="G42" s="547">
        <f t="shared" si="5"/>
        <v>30</v>
      </c>
      <c r="H42" s="548">
        <v>365</v>
      </c>
      <c r="I42" s="549">
        <f t="shared" si="6"/>
        <v>522739.72602739726</v>
      </c>
      <c r="J42" s="549">
        <f t="shared" si="6"/>
        <v>4.1894654088050316E-4</v>
      </c>
      <c r="K42" s="529">
        <f t="shared" si="1"/>
        <v>522739.72560845071</v>
      </c>
      <c r="L42" s="549">
        <v>0</v>
      </c>
      <c r="M42" s="537"/>
    </row>
    <row r="43" spans="1:13" ht="18" hidden="1" thickBot="1" x14ac:dyDescent="0.3">
      <c r="A43" s="507">
        <v>10</v>
      </c>
      <c r="B43" s="1300"/>
      <c r="C43" s="544">
        <v>43647</v>
      </c>
      <c r="D43" s="544">
        <v>43660</v>
      </c>
      <c r="E43" s="575">
        <v>318000000</v>
      </c>
      <c r="F43" s="546">
        <v>0.02</v>
      </c>
      <c r="G43" s="547">
        <f t="shared" si="5"/>
        <v>14</v>
      </c>
      <c r="H43" s="548">
        <v>365</v>
      </c>
      <c r="I43" s="549">
        <f t="shared" si="6"/>
        <v>243945.20547945207</v>
      </c>
      <c r="J43" s="577">
        <f>I39+I40+I41+I42+I43</f>
        <v>1608876.7127671235</v>
      </c>
      <c r="K43" s="529">
        <f t="shared" si="1"/>
        <v>-1364931.5072876713</v>
      </c>
      <c r="L43" s="549">
        <v>0</v>
      </c>
      <c r="M43" s="537"/>
    </row>
    <row r="44" spans="1:13" ht="18" hidden="1" thickBot="1" x14ac:dyDescent="0.3">
      <c r="A44" s="507">
        <v>11</v>
      </c>
      <c r="B44" s="1300"/>
      <c r="C44" s="550">
        <v>43661</v>
      </c>
      <c r="D44" s="550">
        <v>43677</v>
      </c>
      <c r="E44" s="575">
        <v>318000000</v>
      </c>
      <c r="F44" s="552">
        <v>0.02</v>
      </c>
      <c r="G44" s="553">
        <f t="shared" si="5"/>
        <v>17</v>
      </c>
      <c r="H44" s="554">
        <v>365</v>
      </c>
      <c r="I44" s="555">
        <f t="shared" ref="I44:J46" si="7">E44*F44*G44/H44</f>
        <v>296219.17808219179</v>
      </c>
      <c r="J44" s="555">
        <f t="shared" si="7"/>
        <v>4.1894654088050316E-4</v>
      </c>
      <c r="K44" s="529">
        <f t="shared" si="1"/>
        <v>296219.17766324524</v>
      </c>
      <c r="L44" s="555">
        <v>0</v>
      </c>
      <c r="M44" s="537"/>
    </row>
    <row r="45" spans="1:13" ht="18" hidden="1" thickBot="1" x14ac:dyDescent="0.3">
      <c r="A45" s="507">
        <v>12</v>
      </c>
      <c r="B45" s="1300"/>
      <c r="C45" s="550">
        <v>43678</v>
      </c>
      <c r="D45" s="550">
        <v>43708</v>
      </c>
      <c r="E45" s="575">
        <v>318000000</v>
      </c>
      <c r="F45" s="552">
        <v>0.02</v>
      </c>
      <c r="G45" s="553">
        <f t="shared" si="5"/>
        <v>31</v>
      </c>
      <c r="H45" s="554">
        <v>365</v>
      </c>
      <c r="I45" s="555">
        <f t="shared" si="7"/>
        <v>540164.38356164389</v>
      </c>
      <c r="J45" s="555">
        <f t="shared" si="7"/>
        <v>4.189465408805031E-4</v>
      </c>
      <c r="K45" s="529">
        <f t="shared" si="1"/>
        <v>540164.38314269739</v>
      </c>
      <c r="L45" s="555">
        <v>0</v>
      </c>
      <c r="M45" s="537"/>
    </row>
    <row r="46" spans="1:13" ht="18" hidden="1" thickBot="1" x14ac:dyDescent="0.3">
      <c r="A46" s="507">
        <v>13</v>
      </c>
      <c r="B46" s="1300"/>
      <c r="C46" s="550">
        <v>43709</v>
      </c>
      <c r="D46" s="550">
        <v>43738</v>
      </c>
      <c r="E46" s="575">
        <v>318000000</v>
      </c>
      <c r="F46" s="552">
        <v>0.02</v>
      </c>
      <c r="G46" s="553">
        <f t="shared" si="5"/>
        <v>30</v>
      </c>
      <c r="H46" s="554">
        <v>365</v>
      </c>
      <c r="I46" s="555">
        <f t="shared" si="7"/>
        <v>522739.72602739726</v>
      </c>
      <c r="J46" s="555">
        <f t="shared" si="7"/>
        <v>4.1894654088050316E-4</v>
      </c>
      <c r="K46" s="529">
        <f t="shared" si="1"/>
        <v>522739.72560845071</v>
      </c>
      <c r="L46" s="555">
        <v>0</v>
      </c>
      <c r="M46" s="537"/>
    </row>
    <row r="47" spans="1:13" ht="18" hidden="1" thickBot="1" x14ac:dyDescent="0.3">
      <c r="A47" s="507">
        <v>14</v>
      </c>
      <c r="B47" s="1300"/>
      <c r="C47" s="550">
        <v>43739</v>
      </c>
      <c r="D47" s="550">
        <v>43752</v>
      </c>
      <c r="E47" s="575">
        <v>318000000</v>
      </c>
      <c r="F47" s="552">
        <v>0.02</v>
      </c>
      <c r="G47" s="553">
        <v>14</v>
      </c>
      <c r="H47" s="554">
        <v>365</v>
      </c>
      <c r="I47" s="555">
        <f>E47*F47*G47/H47</f>
        <v>243945.20547945207</v>
      </c>
      <c r="J47" s="556">
        <f>I44+I45+I46+I47</f>
        <v>1603068.493150685</v>
      </c>
      <c r="K47" s="529">
        <f t="shared" si="1"/>
        <v>-1359123.2876712328</v>
      </c>
      <c r="L47" s="555">
        <v>0</v>
      </c>
      <c r="M47" s="537"/>
    </row>
    <row r="48" spans="1:13" ht="18" hidden="1" thickBot="1" x14ac:dyDescent="0.3">
      <c r="A48" s="507">
        <v>15</v>
      </c>
      <c r="B48" s="1300"/>
      <c r="C48" s="557">
        <v>43753</v>
      </c>
      <c r="D48" s="557">
        <v>43769</v>
      </c>
      <c r="E48" s="575">
        <v>318000000</v>
      </c>
      <c r="F48" s="559">
        <v>0.02</v>
      </c>
      <c r="G48" s="560">
        <v>17</v>
      </c>
      <c r="H48" s="561">
        <v>365</v>
      </c>
      <c r="I48" s="562">
        <f>E48*F48*G48/H48</f>
        <v>296219.17808219179</v>
      </c>
      <c r="J48" s="562">
        <f>F48*G48*H48/I48</f>
        <v>4.1894654088050316E-4</v>
      </c>
      <c r="K48" s="529">
        <f t="shared" si="1"/>
        <v>296219.17766324524</v>
      </c>
      <c r="L48" s="562">
        <v>0</v>
      </c>
      <c r="M48" s="537"/>
    </row>
    <row r="49" spans="1:13" ht="18" hidden="1" thickBot="1" x14ac:dyDescent="0.3">
      <c r="A49" s="507">
        <v>16</v>
      </c>
      <c r="B49" s="1300"/>
      <c r="C49" s="557">
        <v>43770</v>
      </c>
      <c r="D49" s="557">
        <v>43799</v>
      </c>
      <c r="E49" s="575">
        <v>318000000</v>
      </c>
      <c r="F49" s="559">
        <v>0.02</v>
      </c>
      <c r="G49" s="560">
        <v>30</v>
      </c>
      <c r="H49" s="561">
        <v>365</v>
      </c>
      <c r="I49" s="562">
        <f>E49*F49*G49/H49</f>
        <v>522739.72602739726</v>
      </c>
      <c r="J49" s="562">
        <f>F49*G49*H49/I49</f>
        <v>4.1894654088050316E-4</v>
      </c>
      <c r="K49" s="529">
        <f t="shared" si="1"/>
        <v>522739.72560845071</v>
      </c>
      <c r="L49" s="562">
        <v>0</v>
      </c>
      <c r="M49" s="537"/>
    </row>
    <row r="50" spans="1:13" ht="34.5" hidden="1" customHeight="1" thickBot="1" x14ac:dyDescent="0.3">
      <c r="A50" s="507">
        <v>17</v>
      </c>
      <c r="B50" s="1300"/>
      <c r="C50" s="557">
        <v>43800</v>
      </c>
      <c r="D50" s="557">
        <v>43830</v>
      </c>
      <c r="E50" s="575">
        <v>318000000</v>
      </c>
      <c r="F50" s="559">
        <v>0.02</v>
      </c>
      <c r="G50" s="560">
        <v>31</v>
      </c>
      <c r="H50" s="561">
        <v>365</v>
      </c>
      <c r="I50" s="562">
        <f>E50*F50*G50/H50</f>
        <v>540164.38356164389</v>
      </c>
      <c r="J50" s="562">
        <f>F50*G50*H50/I50</f>
        <v>4.189465408805031E-4</v>
      </c>
      <c r="K50" s="529">
        <f t="shared" si="1"/>
        <v>540164.38314269739</v>
      </c>
      <c r="L50" s="562">
        <v>0</v>
      </c>
      <c r="M50" s="537"/>
    </row>
    <row r="51" spans="1:13" ht="33" hidden="1" customHeight="1" thickBot="1" x14ac:dyDescent="0.3">
      <c r="A51" s="507">
        <v>18</v>
      </c>
      <c r="B51" s="1300"/>
      <c r="C51" s="563">
        <v>43831</v>
      </c>
      <c r="D51" s="563">
        <v>43844</v>
      </c>
      <c r="E51" s="578">
        <v>318000000</v>
      </c>
      <c r="F51" s="565">
        <v>0.02</v>
      </c>
      <c r="G51" s="566">
        <v>14</v>
      </c>
      <c r="H51" s="567">
        <v>366</v>
      </c>
      <c r="I51" s="568">
        <f>E51*F51*G51/H51</f>
        <v>243278.68852459016</v>
      </c>
      <c r="J51" s="569">
        <f>I48+I49+I50+I51</f>
        <v>1602401.9761958232</v>
      </c>
      <c r="K51" s="529">
        <f t="shared" si="1"/>
        <v>-1359123.2876712331</v>
      </c>
      <c r="L51" s="568">
        <v>0</v>
      </c>
      <c r="M51" s="537"/>
    </row>
    <row r="52" spans="1:13" ht="39.75" customHeight="1" thickBot="1" x14ac:dyDescent="0.3">
      <c r="A52" s="579" t="s">
        <v>91</v>
      </c>
      <c r="B52" s="523" t="s">
        <v>212</v>
      </c>
      <c r="C52" s="570">
        <v>43480</v>
      </c>
      <c r="D52" s="570">
        <v>43845</v>
      </c>
      <c r="E52" s="580">
        <v>318000000</v>
      </c>
      <c r="F52" s="526">
        <v>0.02</v>
      </c>
      <c r="G52" s="527">
        <f>SUM(G34:G51)</f>
        <v>365</v>
      </c>
      <c r="H52" s="528">
        <v>365</v>
      </c>
      <c r="I52" s="572">
        <f>SUM(I34:I51)</f>
        <v>6905306.0862232205</v>
      </c>
      <c r="J52" s="572">
        <f>SUM(J34:J51)</f>
        <v>6905306.0915647876</v>
      </c>
      <c r="K52" s="529">
        <f>+I52-J52</f>
        <v>-5.3415670990943909E-3</v>
      </c>
      <c r="L52" s="572">
        <f>SUM(L34:L51)</f>
        <v>106000000</v>
      </c>
      <c r="M52" s="581">
        <f>+'[2]15,01,2021'!I52</f>
        <v>6905306.0862232205</v>
      </c>
    </row>
    <row r="53" spans="1:13" ht="2.25" hidden="1" customHeight="1" x14ac:dyDescent="0.25">
      <c r="A53" s="582">
        <v>1</v>
      </c>
      <c r="B53" s="1301" t="s">
        <v>206</v>
      </c>
      <c r="C53" s="583">
        <v>43845</v>
      </c>
      <c r="D53" s="583">
        <v>43861</v>
      </c>
      <c r="E53" s="575">
        <v>318000000</v>
      </c>
      <c r="F53" s="584">
        <v>0.02</v>
      </c>
      <c r="G53" s="585">
        <f>+D53-C53+1</f>
        <v>17</v>
      </c>
      <c r="H53" s="586">
        <v>366</v>
      </c>
      <c r="I53" s="587">
        <f>E53*F53*G53/H53</f>
        <v>295409.83606557379</v>
      </c>
      <c r="J53" s="587">
        <f t="shared" ref="J53:J63" si="8">F53*G53*H53/I53</f>
        <v>4.2124528301886794E-4</v>
      </c>
      <c r="K53" s="529">
        <f t="shared" si="1"/>
        <v>295409.8356443285</v>
      </c>
      <c r="L53" s="587">
        <v>0</v>
      </c>
    </row>
    <row r="54" spans="1:13" ht="21.75" hidden="1" customHeight="1" x14ac:dyDescent="0.25">
      <c r="A54" s="582">
        <v>2</v>
      </c>
      <c r="B54" s="1301"/>
      <c r="C54" s="538">
        <v>43862</v>
      </c>
      <c r="D54" s="538">
        <v>43890</v>
      </c>
      <c r="E54" s="575">
        <v>318000000</v>
      </c>
      <c r="F54" s="540">
        <v>0.02</v>
      </c>
      <c r="G54" s="541">
        <f>+D54-C54+1</f>
        <v>29</v>
      </c>
      <c r="H54" s="542">
        <v>366</v>
      </c>
      <c r="I54" s="543">
        <f>E54*F54*G54/H54</f>
        <v>503934.42622950819</v>
      </c>
      <c r="J54" s="543">
        <f>F54*G54*H54/I54</f>
        <v>4.2124528301886789E-4</v>
      </c>
      <c r="K54" s="529">
        <f t="shared" si="1"/>
        <v>503934.42580826289</v>
      </c>
      <c r="L54" s="543">
        <v>0</v>
      </c>
    </row>
    <row r="55" spans="1:13" ht="16.5" hidden="1" thickBot="1" x14ac:dyDescent="0.3">
      <c r="A55" s="582">
        <v>3</v>
      </c>
      <c r="B55" s="1301"/>
      <c r="C55" s="538">
        <v>43891</v>
      </c>
      <c r="D55" s="538">
        <v>43921</v>
      </c>
      <c r="E55" s="575">
        <v>318000000</v>
      </c>
      <c r="F55" s="540">
        <v>0.02</v>
      </c>
      <c r="G55" s="541">
        <f>D55-C55+1</f>
        <v>31</v>
      </c>
      <c r="H55" s="542">
        <v>366</v>
      </c>
      <c r="I55" s="543">
        <f>E55*F55*G55/H55</f>
        <v>538688.52459016396</v>
      </c>
      <c r="J55" s="543">
        <f t="shared" si="8"/>
        <v>4.2124528301886789E-4</v>
      </c>
      <c r="K55" s="529">
        <f t="shared" si="1"/>
        <v>538688.52416891872</v>
      </c>
      <c r="L55" s="543">
        <v>0</v>
      </c>
    </row>
    <row r="56" spans="1:13" ht="16.5" hidden="1" thickBot="1" x14ac:dyDescent="0.3">
      <c r="A56" s="582">
        <v>4</v>
      </c>
      <c r="B56" s="1301"/>
      <c r="C56" s="538">
        <v>43922</v>
      </c>
      <c r="D56" s="538">
        <v>43935</v>
      </c>
      <c r="E56" s="575">
        <v>318000000</v>
      </c>
      <c r="F56" s="540">
        <v>0.02</v>
      </c>
      <c r="G56" s="541">
        <f>D56-C56+1</f>
        <v>14</v>
      </c>
      <c r="H56" s="542">
        <v>366</v>
      </c>
      <c r="I56" s="543">
        <f>E56*F56*G56/H56</f>
        <v>243278.68852459016</v>
      </c>
      <c r="J56" s="543">
        <f t="shared" si="8"/>
        <v>4.2124528301886794E-4</v>
      </c>
      <c r="K56" s="529">
        <f t="shared" si="1"/>
        <v>243278.68810334487</v>
      </c>
      <c r="L56" s="543"/>
    </row>
    <row r="57" spans="1:13" ht="16.5" hidden="1" thickBot="1" x14ac:dyDescent="0.3">
      <c r="A57" s="582">
        <v>5</v>
      </c>
      <c r="B57" s="1301"/>
      <c r="C57" s="544">
        <v>43936</v>
      </c>
      <c r="D57" s="544">
        <v>43951</v>
      </c>
      <c r="E57" s="575">
        <f>318000000-L56</f>
        <v>318000000</v>
      </c>
      <c r="F57" s="546">
        <v>0.02</v>
      </c>
      <c r="G57" s="547">
        <f>D57-C57+1</f>
        <v>16</v>
      </c>
      <c r="H57" s="548">
        <v>366</v>
      </c>
      <c r="I57" s="549">
        <f t="shared" ref="I57:J73" si="9">E57*F57*G57/H57</f>
        <v>278032.78688524588</v>
      </c>
      <c r="J57" s="549">
        <f t="shared" si="8"/>
        <v>4.2124528301886799E-4</v>
      </c>
      <c r="K57" s="529">
        <f t="shared" si="1"/>
        <v>278032.78646400059</v>
      </c>
      <c r="L57" s="549">
        <v>0</v>
      </c>
    </row>
    <row r="58" spans="1:13" ht="16.5" hidden="1" thickBot="1" x14ac:dyDescent="0.3">
      <c r="A58" s="582">
        <v>6</v>
      </c>
      <c r="B58" s="1301"/>
      <c r="C58" s="544">
        <v>43952</v>
      </c>
      <c r="D58" s="544">
        <v>43982</v>
      </c>
      <c r="E58" s="575">
        <f>E57</f>
        <v>318000000</v>
      </c>
      <c r="F58" s="546">
        <v>0.02</v>
      </c>
      <c r="G58" s="547">
        <f>D58-C58+1</f>
        <v>31</v>
      </c>
      <c r="H58" s="548">
        <v>366</v>
      </c>
      <c r="I58" s="549">
        <f t="shared" si="9"/>
        <v>538688.52459016396</v>
      </c>
      <c r="J58" s="549">
        <f t="shared" si="8"/>
        <v>4.2124528301886789E-4</v>
      </c>
      <c r="K58" s="529">
        <f t="shared" si="1"/>
        <v>538688.52416891872</v>
      </c>
      <c r="L58" s="549">
        <v>0</v>
      </c>
    </row>
    <row r="59" spans="1:13" ht="16.5" hidden="1" thickBot="1" x14ac:dyDescent="0.3">
      <c r="A59" s="582">
        <v>7</v>
      </c>
      <c r="B59" s="1301"/>
      <c r="C59" s="544">
        <v>43983</v>
      </c>
      <c r="D59" s="544">
        <v>44012</v>
      </c>
      <c r="E59" s="575">
        <f>E58</f>
        <v>318000000</v>
      </c>
      <c r="F59" s="546">
        <v>0.02</v>
      </c>
      <c r="G59" s="547">
        <f>D59-C59+1</f>
        <v>30</v>
      </c>
      <c r="H59" s="548">
        <v>366</v>
      </c>
      <c r="I59" s="549">
        <f t="shared" si="9"/>
        <v>521311.47540983604</v>
      </c>
      <c r="J59" s="549">
        <f t="shared" si="8"/>
        <v>4.2124528301886794E-4</v>
      </c>
      <c r="K59" s="529">
        <f t="shared" si="1"/>
        <v>521311.47498859075</v>
      </c>
      <c r="L59" s="549">
        <v>0</v>
      </c>
    </row>
    <row r="60" spans="1:13" ht="7.5" hidden="1" customHeight="1" x14ac:dyDescent="0.25">
      <c r="A60" s="582">
        <v>8</v>
      </c>
      <c r="B60" s="1301"/>
      <c r="C60" s="544">
        <v>44013</v>
      </c>
      <c r="D60" s="544">
        <v>44026</v>
      </c>
      <c r="E60" s="575">
        <f>E58</f>
        <v>318000000</v>
      </c>
      <c r="F60" s="546">
        <v>0.02</v>
      </c>
      <c r="G60" s="547">
        <f t="shared" ref="G60:G87" si="10">D60-C60+1</f>
        <v>14</v>
      </c>
      <c r="H60" s="548">
        <v>366</v>
      </c>
      <c r="I60" s="549">
        <f>E60*F60*G60/H60</f>
        <v>243278.68852459016</v>
      </c>
      <c r="J60" s="549">
        <f t="shared" si="8"/>
        <v>4.2124528301886794E-4</v>
      </c>
      <c r="K60" s="529">
        <f t="shared" si="1"/>
        <v>243278.68810334487</v>
      </c>
      <c r="L60" s="549">
        <v>0</v>
      </c>
    </row>
    <row r="61" spans="1:13" ht="16.5" hidden="1" thickBot="1" x14ac:dyDescent="0.3">
      <c r="A61" s="582">
        <v>9</v>
      </c>
      <c r="B61" s="1301"/>
      <c r="C61" s="588">
        <v>44027</v>
      </c>
      <c r="D61" s="588">
        <v>44043</v>
      </c>
      <c r="E61" s="575">
        <f>E59</f>
        <v>318000000</v>
      </c>
      <c r="F61" s="589">
        <v>0.02</v>
      </c>
      <c r="G61" s="590">
        <f t="shared" si="10"/>
        <v>17</v>
      </c>
      <c r="H61" s="591">
        <v>366</v>
      </c>
      <c r="I61" s="592">
        <f>E61*F61*G61/H61</f>
        <v>295409.83606557379</v>
      </c>
      <c r="J61" s="592">
        <f t="shared" si="8"/>
        <v>4.2124528301886794E-4</v>
      </c>
      <c r="K61" s="529">
        <f t="shared" si="1"/>
        <v>295409.8356443285</v>
      </c>
      <c r="L61" s="592">
        <v>0</v>
      </c>
    </row>
    <row r="62" spans="1:13" ht="16.5" hidden="1" thickBot="1" x14ac:dyDescent="0.3">
      <c r="A62" s="582">
        <v>10</v>
      </c>
      <c r="B62" s="1301"/>
      <c r="C62" s="588">
        <v>44044</v>
      </c>
      <c r="D62" s="588">
        <v>44074</v>
      </c>
      <c r="E62" s="575">
        <f>E60</f>
        <v>318000000</v>
      </c>
      <c r="F62" s="589">
        <v>0.02</v>
      </c>
      <c r="G62" s="590">
        <f t="shared" si="10"/>
        <v>31</v>
      </c>
      <c r="H62" s="591">
        <v>366</v>
      </c>
      <c r="I62" s="592">
        <f t="shared" si="9"/>
        <v>538688.52459016396</v>
      </c>
      <c r="J62" s="592">
        <f t="shared" si="8"/>
        <v>4.2124528301886789E-4</v>
      </c>
      <c r="K62" s="529">
        <f t="shared" si="1"/>
        <v>538688.52416891872</v>
      </c>
      <c r="L62" s="592">
        <v>0</v>
      </c>
    </row>
    <row r="63" spans="1:13" ht="16.5" hidden="1" thickBot="1" x14ac:dyDescent="0.3">
      <c r="A63" s="582">
        <v>11</v>
      </c>
      <c r="B63" s="1301"/>
      <c r="C63" s="588">
        <v>44075</v>
      </c>
      <c r="D63" s="588">
        <v>44104</v>
      </c>
      <c r="E63" s="575">
        <f>E61</f>
        <v>318000000</v>
      </c>
      <c r="F63" s="589">
        <v>0.02</v>
      </c>
      <c r="G63" s="590">
        <f t="shared" si="10"/>
        <v>30</v>
      </c>
      <c r="H63" s="591">
        <v>366</v>
      </c>
      <c r="I63" s="592">
        <f t="shared" si="9"/>
        <v>521311.47540983604</v>
      </c>
      <c r="J63" s="592">
        <f t="shared" si="8"/>
        <v>4.2124528301886794E-4</v>
      </c>
      <c r="K63" s="529">
        <f t="shared" si="1"/>
        <v>521311.47498859075</v>
      </c>
      <c r="L63" s="592">
        <v>0</v>
      </c>
    </row>
    <row r="64" spans="1:13" ht="16.5" hidden="1" thickBot="1" x14ac:dyDescent="0.3">
      <c r="A64" s="582">
        <v>12</v>
      </c>
      <c r="B64" s="1301"/>
      <c r="C64" s="588">
        <v>44105</v>
      </c>
      <c r="D64" s="588">
        <v>44110</v>
      </c>
      <c r="E64" s="575">
        <f>E62</f>
        <v>318000000</v>
      </c>
      <c r="F64" s="589">
        <v>0.02</v>
      </c>
      <c r="G64" s="590">
        <f t="shared" si="10"/>
        <v>6</v>
      </c>
      <c r="H64" s="591">
        <v>366</v>
      </c>
      <c r="I64" s="592">
        <f t="shared" si="9"/>
        <v>104262.29508196721</v>
      </c>
      <c r="J64" s="592">
        <f>F64*G64*H64/I64</f>
        <v>4.2124528301886794E-4</v>
      </c>
      <c r="K64" s="529">
        <f t="shared" si="1"/>
        <v>104262.29466072193</v>
      </c>
      <c r="L64" s="593">
        <v>0</v>
      </c>
    </row>
    <row r="65" spans="1:13" ht="16.5" hidden="1" thickBot="1" x14ac:dyDescent="0.3">
      <c r="A65" s="582">
        <v>13</v>
      </c>
      <c r="B65" s="1301"/>
      <c r="C65" s="588">
        <v>44111</v>
      </c>
      <c r="D65" s="588">
        <v>44118</v>
      </c>
      <c r="E65" s="575">
        <f>E64-L65</f>
        <v>315500000</v>
      </c>
      <c r="F65" s="589">
        <v>0.02</v>
      </c>
      <c r="G65" s="590">
        <f t="shared" si="10"/>
        <v>8</v>
      </c>
      <c r="H65" s="591">
        <v>366</v>
      </c>
      <c r="I65" s="592">
        <f t="shared" si="9"/>
        <v>137923.49726775955</v>
      </c>
      <c r="J65" s="592">
        <f t="shared" si="9"/>
        <v>4.2458320126782887E-4</v>
      </c>
      <c r="K65" s="529">
        <f t="shared" si="1"/>
        <v>137923.49684317634</v>
      </c>
      <c r="L65" s="594">
        <f>1000000+1500000</f>
        <v>2500000</v>
      </c>
    </row>
    <row r="66" spans="1:13" ht="16.5" hidden="1" thickBot="1" x14ac:dyDescent="0.3">
      <c r="A66" s="582">
        <v>14</v>
      </c>
      <c r="B66" s="1301"/>
      <c r="C66" s="595">
        <v>44119</v>
      </c>
      <c r="D66" s="595">
        <v>44126</v>
      </c>
      <c r="E66" s="575">
        <f>E65-L66</f>
        <v>315500000</v>
      </c>
      <c r="F66" s="596">
        <v>0.02</v>
      </c>
      <c r="G66" s="597">
        <f t="shared" si="10"/>
        <v>8</v>
      </c>
      <c r="H66" s="598">
        <v>366</v>
      </c>
      <c r="I66" s="599">
        <f t="shared" si="9"/>
        <v>137923.49726775955</v>
      </c>
      <c r="J66" s="599">
        <f t="shared" si="9"/>
        <v>4.2458320126782887E-4</v>
      </c>
      <c r="K66" s="529">
        <f t="shared" si="1"/>
        <v>137923.49684317634</v>
      </c>
      <c r="L66" s="600">
        <v>0</v>
      </c>
    </row>
    <row r="67" spans="1:13" ht="16.5" hidden="1" thickBot="1" x14ac:dyDescent="0.3">
      <c r="A67" s="582">
        <v>15</v>
      </c>
      <c r="B67" s="601"/>
      <c r="C67" s="595">
        <v>44127</v>
      </c>
      <c r="D67" s="595">
        <v>44129</v>
      </c>
      <c r="E67" s="575">
        <f>E66-L67</f>
        <v>314500000</v>
      </c>
      <c r="F67" s="596">
        <v>0.02</v>
      </c>
      <c r="G67" s="597">
        <f t="shared" si="10"/>
        <v>3</v>
      </c>
      <c r="H67" s="598">
        <v>366</v>
      </c>
      <c r="I67" s="599">
        <f>E67*F67*G67/H67</f>
        <v>51557.37704918033</v>
      </c>
      <c r="J67" s="599">
        <f>F67*G67*H67/I67</f>
        <v>4.2593322734499204E-4</v>
      </c>
      <c r="K67" s="529">
        <f t="shared" si="1"/>
        <v>51557.376623247103</v>
      </c>
      <c r="L67" s="602">
        <v>1000000</v>
      </c>
    </row>
    <row r="68" spans="1:13" ht="16.5" hidden="1" thickBot="1" x14ac:dyDescent="0.3">
      <c r="A68" s="582">
        <v>16</v>
      </c>
      <c r="B68" s="603"/>
      <c r="C68" s="595">
        <v>44130</v>
      </c>
      <c r="D68" s="595">
        <v>44131</v>
      </c>
      <c r="E68" s="575">
        <f t="shared" ref="E68:E90" si="11">E67-L68</f>
        <v>308500000</v>
      </c>
      <c r="F68" s="596">
        <v>0.02</v>
      </c>
      <c r="G68" s="597">
        <f t="shared" si="10"/>
        <v>2</v>
      </c>
      <c r="H68" s="598">
        <v>366</v>
      </c>
      <c r="I68" s="599">
        <f t="shared" si="9"/>
        <v>33715.846994535517</v>
      </c>
      <c r="J68" s="599">
        <f t="shared" si="9"/>
        <v>4.3421717990275532E-4</v>
      </c>
      <c r="K68" s="529">
        <f t="shared" si="1"/>
        <v>33715.846560318336</v>
      </c>
      <c r="L68" s="602">
        <f>1000000+5000000</f>
        <v>6000000</v>
      </c>
    </row>
    <row r="69" spans="1:13" ht="16.5" hidden="1" customHeight="1" x14ac:dyDescent="0.25">
      <c r="A69" s="582">
        <v>17</v>
      </c>
      <c r="B69" s="604">
        <f>106000000-L91</f>
        <v>39000000</v>
      </c>
      <c r="C69" s="595">
        <v>44132</v>
      </c>
      <c r="D69" s="595">
        <v>44135</v>
      </c>
      <c r="E69" s="575">
        <f t="shared" si="11"/>
        <v>307500000</v>
      </c>
      <c r="F69" s="596">
        <v>0.02</v>
      </c>
      <c r="G69" s="597">
        <f t="shared" si="10"/>
        <v>4</v>
      </c>
      <c r="H69" s="598">
        <v>366</v>
      </c>
      <c r="I69" s="599">
        <f t="shared" si="9"/>
        <v>67213.114754098366</v>
      </c>
      <c r="J69" s="599">
        <f t="shared" si="9"/>
        <v>4.3562926829268292E-4</v>
      </c>
      <c r="K69" s="529">
        <f t="shared" si="1"/>
        <v>67213.114318469103</v>
      </c>
      <c r="L69" s="605">
        <v>1000000</v>
      </c>
    </row>
    <row r="70" spans="1:13" ht="16.5" hidden="1" thickBot="1" x14ac:dyDescent="0.3">
      <c r="A70" s="582">
        <v>18</v>
      </c>
      <c r="B70" s="1298"/>
      <c r="C70" s="595">
        <v>44136</v>
      </c>
      <c r="D70" s="595">
        <v>44137</v>
      </c>
      <c r="E70" s="575">
        <f t="shared" si="11"/>
        <v>307500000</v>
      </c>
      <c r="F70" s="596">
        <v>0.02</v>
      </c>
      <c r="G70" s="597">
        <f t="shared" si="10"/>
        <v>2</v>
      </c>
      <c r="H70" s="598">
        <v>366</v>
      </c>
      <c r="I70" s="599">
        <f t="shared" si="9"/>
        <v>33606.557377049183</v>
      </c>
      <c r="J70" s="599">
        <f t="shared" si="9"/>
        <v>4.3562926829268292E-4</v>
      </c>
      <c r="K70" s="529">
        <f t="shared" si="1"/>
        <v>33606.556941419913</v>
      </c>
      <c r="L70" s="606">
        <v>0</v>
      </c>
      <c r="M70" s="607"/>
    </row>
    <row r="71" spans="1:13" ht="16.5" hidden="1" thickBot="1" x14ac:dyDescent="0.3">
      <c r="A71" s="582">
        <v>19</v>
      </c>
      <c r="B71" s="1298"/>
      <c r="C71" s="595">
        <v>44138</v>
      </c>
      <c r="D71" s="595">
        <v>44139</v>
      </c>
      <c r="E71" s="575">
        <f t="shared" si="11"/>
        <v>305500000</v>
      </c>
      <c r="F71" s="596">
        <v>0.02</v>
      </c>
      <c r="G71" s="597">
        <f t="shared" si="10"/>
        <v>2</v>
      </c>
      <c r="H71" s="598">
        <v>366</v>
      </c>
      <c r="I71" s="599">
        <f t="shared" si="9"/>
        <v>33387.978142076499</v>
      </c>
      <c r="J71" s="599">
        <f t="shared" si="9"/>
        <v>4.3848117839607206E-4</v>
      </c>
      <c r="K71" s="529">
        <f t="shared" si="1"/>
        <v>33387.977703595323</v>
      </c>
      <c r="L71" s="605">
        <v>2000000</v>
      </c>
    </row>
    <row r="72" spans="1:13" ht="16.5" hidden="1" thickBot="1" x14ac:dyDescent="0.3">
      <c r="A72" s="582">
        <v>20</v>
      </c>
      <c r="B72" s="1298"/>
      <c r="C72" s="595">
        <v>44140</v>
      </c>
      <c r="D72" s="595">
        <v>44144</v>
      </c>
      <c r="E72" s="575">
        <f t="shared" si="11"/>
        <v>303500000</v>
      </c>
      <c r="F72" s="596">
        <v>0.02</v>
      </c>
      <c r="G72" s="597">
        <f t="shared" si="10"/>
        <v>5</v>
      </c>
      <c r="H72" s="598">
        <v>366</v>
      </c>
      <c r="I72" s="599">
        <f t="shared" si="9"/>
        <v>82923.497267759565</v>
      </c>
      <c r="J72" s="599">
        <f t="shared" si="9"/>
        <v>4.4137067545304778E-4</v>
      </c>
      <c r="K72" s="529">
        <f t="shared" si="1"/>
        <v>82923.496826388888</v>
      </c>
      <c r="L72" s="606">
        <v>2000000</v>
      </c>
    </row>
    <row r="73" spans="1:13" ht="16.5" hidden="1" thickBot="1" x14ac:dyDescent="0.3">
      <c r="A73" s="582">
        <v>21</v>
      </c>
      <c r="B73" s="1298"/>
      <c r="C73" s="595">
        <v>44145</v>
      </c>
      <c r="D73" s="595">
        <v>44145</v>
      </c>
      <c r="E73" s="575">
        <f t="shared" si="11"/>
        <v>302500000</v>
      </c>
      <c r="F73" s="596">
        <v>0.02</v>
      </c>
      <c r="G73" s="597">
        <f t="shared" si="10"/>
        <v>1</v>
      </c>
      <c r="H73" s="598">
        <v>366</v>
      </c>
      <c r="I73" s="599">
        <f t="shared" si="9"/>
        <v>16530.054644808744</v>
      </c>
      <c r="J73" s="599">
        <f t="shared" si="9"/>
        <v>4.4282975206611571E-4</v>
      </c>
      <c r="K73" s="529">
        <f t="shared" si="1"/>
        <v>16530.054201978994</v>
      </c>
      <c r="L73" s="605">
        <v>1000000</v>
      </c>
    </row>
    <row r="74" spans="1:13" ht="16.5" hidden="1" thickBot="1" x14ac:dyDescent="0.3">
      <c r="A74" s="582">
        <v>22</v>
      </c>
      <c r="B74" s="1298"/>
      <c r="C74" s="595">
        <v>44146</v>
      </c>
      <c r="D74" s="595">
        <v>44147</v>
      </c>
      <c r="E74" s="575">
        <f t="shared" si="11"/>
        <v>301500000</v>
      </c>
      <c r="F74" s="596">
        <v>0.02</v>
      </c>
      <c r="G74" s="597">
        <f>D74-C74+1</f>
        <v>2</v>
      </c>
      <c r="H74" s="598">
        <v>366</v>
      </c>
      <c r="I74" s="599">
        <f t="shared" ref="I74:J82" si="12">E74*F74*G74/H74</f>
        <v>32950.819672131147</v>
      </c>
      <c r="J74" s="599">
        <f t="shared" si="12"/>
        <v>4.442985074626866E-4</v>
      </c>
      <c r="K74" s="529">
        <f t="shared" si="1"/>
        <v>32950.819227832639</v>
      </c>
      <c r="L74" s="605">
        <v>1000000</v>
      </c>
    </row>
    <row r="75" spans="1:13" ht="16.5" hidden="1" thickBot="1" x14ac:dyDescent="0.3">
      <c r="A75" s="582">
        <v>23</v>
      </c>
      <c r="B75" s="1298"/>
      <c r="C75" s="595">
        <v>44148</v>
      </c>
      <c r="D75" s="595">
        <v>44150</v>
      </c>
      <c r="E75" s="575">
        <f t="shared" si="11"/>
        <v>300500000</v>
      </c>
      <c r="F75" s="596">
        <v>0.02</v>
      </c>
      <c r="G75" s="597">
        <f t="shared" si="10"/>
        <v>3</v>
      </c>
      <c r="H75" s="598">
        <v>366</v>
      </c>
      <c r="I75" s="599">
        <f t="shared" si="12"/>
        <v>49262.295081967211</v>
      </c>
      <c r="J75" s="599">
        <f t="shared" si="12"/>
        <v>4.4577703826955079E-4</v>
      </c>
      <c r="K75" s="529">
        <f t="shared" si="1"/>
        <v>49262.29463619017</v>
      </c>
      <c r="L75" s="605">
        <v>1000000</v>
      </c>
    </row>
    <row r="76" spans="1:13" ht="16.5" hidden="1" thickBot="1" x14ac:dyDescent="0.3">
      <c r="A76" s="582">
        <v>24</v>
      </c>
      <c r="B76" s="1298"/>
      <c r="C76" s="595">
        <v>44151</v>
      </c>
      <c r="D76" s="595">
        <v>44152</v>
      </c>
      <c r="E76" s="575">
        <f t="shared" si="11"/>
        <v>299500000</v>
      </c>
      <c r="F76" s="596">
        <v>0.02</v>
      </c>
      <c r="G76" s="597">
        <f t="shared" si="10"/>
        <v>2</v>
      </c>
      <c r="H76" s="598">
        <v>366</v>
      </c>
      <c r="I76" s="599">
        <f t="shared" si="12"/>
        <v>32732.240437158471</v>
      </c>
      <c r="J76" s="599">
        <f t="shared" si="12"/>
        <v>4.4726544240400668E-4</v>
      </c>
      <c r="K76" s="529">
        <f t="shared" si="1"/>
        <v>32732.239989893027</v>
      </c>
      <c r="L76" s="605">
        <v>1000000</v>
      </c>
    </row>
    <row r="77" spans="1:13" ht="16.5" hidden="1" thickBot="1" x14ac:dyDescent="0.3">
      <c r="A77" s="582">
        <v>25</v>
      </c>
      <c r="B77" s="1298"/>
      <c r="C77" s="595">
        <v>44153</v>
      </c>
      <c r="D77" s="595">
        <v>44153</v>
      </c>
      <c r="E77" s="575">
        <f t="shared" si="11"/>
        <v>297500000</v>
      </c>
      <c r="F77" s="596">
        <v>0.02</v>
      </c>
      <c r="G77" s="597">
        <f t="shared" si="10"/>
        <v>1</v>
      </c>
      <c r="H77" s="598">
        <v>366</v>
      </c>
      <c r="I77" s="599">
        <f t="shared" si="12"/>
        <v>16256.830601092895</v>
      </c>
      <c r="J77" s="599">
        <f t="shared" si="12"/>
        <v>4.5027226890756309E-4</v>
      </c>
      <c r="K77" s="529">
        <f t="shared" si="1"/>
        <v>16256.830150820626</v>
      </c>
      <c r="L77" s="602">
        <v>2000000</v>
      </c>
    </row>
    <row r="78" spans="1:13" ht="16.5" hidden="1" thickBot="1" x14ac:dyDescent="0.3">
      <c r="A78" s="582">
        <v>26</v>
      </c>
      <c r="B78" s="1298"/>
      <c r="C78" s="595">
        <v>44154</v>
      </c>
      <c r="D78" s="595">
        <v>44157</v>
      </c>
      <c r="E78" s="575">
        <f t="shared" si="11"/>
        <v>293000000</v>
      </c>
      <c r="F78" s="596">
        <v>0.02</v>
      </c>
      <c r="G78" s="597">
        <f t="shared" si="10"/>
        <v>4</v>
      </c>
      <c r="H78" s="598">
        <v>366</v>
      </c>
      <c r="I78" s="599">
        <f t="shared" si="12"/>
        <v>64043.715846994535</v>
      </c>
      <c r="J78" s="599">
        <f t="shared" si="12"/>
        <v>4.5718771331058021E-4</v>
      </c>
      <c r="K78" s="529">
        <f t="shared" ref="K78:K129" si="13">+I78-J78</f>
        <v>64043.715389806821</v>
      </c>
      <c r="L78" s="602">
        <v>4500000</v>
      </c>
    </row>
    <row r="79" spans="1:13" ht="16.5" hidden="1" thickBot="1" x14ac:dyDescent="0.3">
      <c r="A79" s="582">
        <v>27</v>
      </c>
      <c r="B79" s="1298"/>
      <c r="C79" s="595">
        <v>44158</v>
      </c>
      <c r="D79" s="595">
        <v>44158</v>
      </c>
      <c r="E79" s="575">
        <f t="shared" si="11"/>
        <v>289500000</v>
      </c>
      <c r="F79" s="596">
        <v>0.02</v>
      </c>
      <c r="G79" s="597">
        <f t="shared" si="10"/>
        <v>1</v>
      </c>
      <c r="H79" s="598">
        <v>366</v>
      </c>
      <c r="I79" s="599">
        <f t="shared" si="12"/>
        <v>15819.672131147541</v>
      </c>
      <c r="J79" s="599">
        <f t="shared" si="12"/>
        <v>4.6271502590673579E-4</v>
      </c>
      <c r="K79" s="529">
        <f t="shared" si="13"/>
        <v>15819.671668432515</v>
      </c>
      <c r="L79" s="605">
        <v>3500000</v>
      </c>
    </row>
    <row r="80" spans="1:13" ht="16.5" hidden="1" thickBot="1" x14ac:dyDescent="0.3">
      <c r="A80" s="582">
        <v>28</v>
      </c>
      <c r="B80" s="1298"/>
      <c r="C80" s="595">
        <v>44159</v>
      </c>
      <c r="D80" s="595">
        <v>44159</v>
      </c>
      <c r="E80" s="575">
        <f t="shared" si="11"/>
        <v>286000000</v>
      </c>
      <c r="F80" s="596">
        <v>0.02</v>
      </c>
      <c r="G80" s="597">
        <f t="shared" si="10"/>
        <v>1</v>
      </c>
      <c r="H80" s="598">
        <v>366</v>
      </c>
      <c r="I80" s="599">
        <f t="shared" si="12"/>
        <v>15628.415300546449</v>
      </c>
      <c r="J80" s="599">
        <f t="shared" si="12"/>
        <v>4.6837762237762239E-4</v>
      </c>
      <c r="K80" s="529">
        <f t="shared" si="13"/>
        <v>15628.414832168826</v>
      </c>
      <c r="L80" s="599">
        <v>3500000</v>
      </c>
    </row>
    <row r="81" spans="1:13" ht="16.5" hidden="1" thickBot="1" x14ac:dyDescent="0.3">
      <c r="A81" s="582">
        <v>29</v>
      </c>
      <c r="B81" s="1298"/>
      <c r="C81" s="595">
        <v>44160</v>
      </c>
      <c r="D81" s="595">
        <v>44161</v>
      </c>
      <c r="E81" s="575">
        <f t="shared" si="11"/>
        <v>282500000</v>
      </c>
      <c r="F81" s="596">
        <v>0.02</v>
      </c>
      <c r="G81" s="597">
        <f t="shared" si="10"/>
        <v>2</v>
      </c>
      <c r="H81" s="598">
        <v>366</v>
      </c>
      <c r="I81" s="599">
        <f t="shared" si="12"/>
        <v>30874.316939890712</v>
      </c>
      <c r="J81" s="599">
        <f t="shared" si="12"/>
        <v>4.7418053097345134E-4</v>
      </c>
      <c r="K81" s="529">
        <f t="shared" si="13"/>
        <v>30874.316465710181</v>
      </c>
      <c r="L81" s="599">
        <v>3500000</v>
      </c>
    </row>
    <row r="82" spans="1:13" ht="16.5" hidden="1" thickBot="1" x14ac:dyDescent="0.3">
      <c r="A82" s="582">
        <v>30</v>
      </c>
      <c r="B82" s="1298"/>
      <c r="C82" s="595">
        <v>44162</v>
      </c>
      <c r="D82" s="595">
        <v>44166</v>
      </c>
      <c r="E82" s="575">
        <f t="shared" si="11"/>
        <v>279000000</v>
      </c>
      <c r="F82" s="596">
        <v>0.02</v>
      </c>
      <c r="G82" s="597">
        <f t="shared" si="10"/>
        <v>5</v>
      </c>
      <c r="H82" s="598">
        <v>366</v>
      </c>
      <c r="I82" s="599">
        <f t="shared" si="12"/>
        <v>76229.508196721305</v>
      </c>
      <c r="J82" s="599">
        <f t="shared" si="12"/>
        <v>4.8012903225806458E-4</v>
      </c>
      <c r="K82" s="529">
        <f t="shared" si="13"/>
        <v>76229.50771659227</v>
      </c>
      <c r="L82" s="599">
        <v>3500000</v>
      </c>
    </row>
    <row r="83" spans="1:13" ht="16.5" hidden="1" thickBot="1" x14ac:dyDescent="0.3">
      <c r="A83" s="582">
        <v>31</v>
      </c>
      <c r="B83" s="1298"/>
      <c r="C83" s="595">
        <v>44167</v>
      </c>
      <c r="D83" s="595">
        <v>44171</v>
      </c>
      <c r="E83" s="575">
        <f t="shared" si="11"/>
        <v>275500000</v>
      </c>
      <c r="F83" s="596">
        <v>0.02</v>
      </c>
      <c r="G83" s="597">
        <f t="shared" si="10"/>
        <v>5</v>
      </c>
      <c r="H83" s="598">
        <v>366</v>
      </c>
      <c r="I83" s="599">
        <f>E83*F83*G83/H83</f>
        <v>75273.224043715847</v>
      </c>
      <c r="J83" s="599">
        <f>F83*G83*H83/I83</f>
        <v>4.8622867513611618E-4</v>
      </c>
      <c r="K83" s="529">
        <f t="shared" si="13"/>
        <v>75273.223557487174</v>
      </c>
      <c r="L83" s="599">
        <v>3500000</v>
      </c>
    </row>
    <row r="84" spans="1:13" ht="16.5" hidden="1" thickBot="1" x14ac:dyDescent="0.3">
      <c r="A84" s="582">
        <v>32</v>
      </c>
      <c r="B84" s="1298"/>
      <c r="C84" s="595">
        <v>44172</v>
      </c>
      <c r="D84" s="595">
        <v>44174</v>
      </c>
      <c r="E84" s="575">
        <f t="shared" si="11"/>
        <v>272000000</v>
      </c>
      <c r="F84" s="596">
        <v>0.02</v>
      </c>
      <c r="G84" s="597">
        <f t="shared" si="10"/>
        <v>3</v>
      </c>
      <c r="H84" s="598">
        <v>366</v>
      </c>
      <c r="I84" s="599">
        <f t="shared" ref="I84:I90" si="14">E84*F84*G84/H84</f>
        <v>44590.163934426229</v>
      </c>
      <c r="J84" s="599">
        <f t="shared" ref="J84:J90" si="15">F84*G84*H84/I84</f>
        <v>4.9248529411764709E-4</v>
      </c>
      <c r="K84" s="529">
        <f t="shared" si="13"/>
        <v>44590.163441940938</v>
      </c>
      <c r="L84" s="599">
        <v>3500000</v>
      </c>
    </row>
    <row r="85" spans="1:13" ht="16.5" hidden="1" thickBot="1" x14ac:dyDescent="0.3">
      <c r="A85" s="582">
        <v>33</v>
      </c>
      <c r="B85" s="1298"/>
      <c r="C85" s="595">
        <v>44175</v>
      </c>
      <c r="D85" s="595">
        <v>44180</v>
      </c>
      <c r="E85" s="575">
        <f t="shared" si="11"/>
        <v>268500000</v>
      </c>
      <c r="F85" s="596">
        <v>0.02</v>
      </c>
      <c r="G85" s="597">
        <f t="shared" si="10"/>
        <v>6</v>
      </c>
      <c r="H85" s="598">
        <v>366</v>
      </c>
      <c r="I85" s="599">
        <f t="shared" si="14"/>
        <v>88032.786885245907</v>
      </c>
      <c r="J85" s="599">
        <f t="shared" si="15"/>
        <v>4.9890502793296086E-4</v>
      </c>
      <c r="K85" s="529">
        <f t="shared" si="13"/>
        <v>88032.786386340886</v>
      </c>
      <c r="L85" s="599">
        <v>3500000</v>
      </c>
    </row>
    <row r="86" spans="1:13" ht="16.5" hidden="1" thickBot="1" x14ac:dyDescent="0.3">
      <c r="A86" s="582">
        <v>34</v>
      </c>
      <c r="B86" s="1298"/>
      <c r="C86" s="595">
        <v>44181</v>
      </c>
      <c r="D86" s="595">
        <v>44181</v>
      </c>
      <c r="E86" s="575">
        <f t="shared" si="11"/>
        <v>265000000</v>
      </c>
      <c r="F86" s="596">
        <v>0.02</v>
      </c>
      <c r="G86" s="597">
        <f t="shared" si="10"/>
        <v>1</v>
      </c>
      <c r="H86" s="598">
        <v>366</v>
      </c>
      <c r="I86" s="599">
        <f t="shared" si="14"/>
        <v>14480.874316939891</v>
      </c>
      <c r="J86" s="599">
        <f t="shared" si="15"/>
        <v>5.0549433962264153E-4</v>
      </c>
      <c r="K86" s="529">
        <f t="shared" si="13"/>
        <v>14480.873811445552</v>
      </c>
      <c r="L86" s="599">
        <v>3500000</v>
      </c>
    </row>
    <row r="87" spans="1:13" ht="16.5" hidden="1" thickBot="1" x14ac:dyDescent="0.3">
      <c r="A87" s="582">
        <v>35</v>
      </c>
      <c r="B87" s="1298"/>
      <c r="C87" s="595">
        <v>44182</v>
      </c>
      <c r="D87" s="595">
        <v>44182</v>
      </c>
      <c r="E87" s="575">
        <f t="shared" si="11"/>
        <v>261500000</v>
      </c>
      <c r="F87" s="596">
        <v>0.02</v>
      </c>
      <c r="G87" s="597">
        <f t="shared" si="10"/>
        <v>1</v>
      </c>
      <c r="H87" s="598">
        <v>366</v>
      </c>
      <c r="I87" s="599">
        <f t="shared" si="14"/>
        <v>14289.617486338799</v>
      </c>
      <c r="J87" s="599">
        <f t="shared" si="15"/>
        <v>5.1226003824091776E-4</v>
      </c>
      <c r="K87" s="529">
        <f t="shared" si="13"/>
        <v>14289.616974078761</v>
      </c>
      <c r="L87" s="599">
        <v>3500000</v>
      </c>
    </row>
    <row r="88" spans="1:13" ht="0.75" customHeight="1" thickBot="1" x14ac:dyDescent="0.3">
      <c r="A88" s="582">
        <v>36</v>
      </c>
      <c r="B88" s="1298"/>
      <c r="C88" s="595">
        <v>44183</v>
      </c>
      <c r="D88" s="595">
        <v>44187</v>
      </c>
      <c r="E88" s="575">
        <f t="shared" si="11"/>
        <v>258000000</v>
      </c>
      <c r="F88" s="596">
        <v>0.02</v>
      </c>
      <c r="G88" s="597">
        <f>D88-C88+1</f>
        <v>5</v>
      </c>
      <c r="H88" s="598">
        <v>366</v>
      </c>
      <c r="I88" s="599">
        <f t="shared" si="14"/>
        <v>70491.803278688531</v>
      </c>
      <c r="J88" s="599">
        <f t="shared" si="15"/>
        <v>5.1920930232558142E-4</v>
      </c>
      <c r="K88" s="529">
        <f t="shared" si="13"/>
        <v>70491.802759479222</v>
      </c>
      <c r="L88" s="599">
        <v>3500000</v>
      </c>
    </row>
    <row r="89" spans="1:13" ht="35.25" hidden="1" customHeight="1" thickBot="1" x14ac:dyDescent="0.3">
      <c r="A89" s="582">
        <v>37</v>
      </c>
      <c r="B89" s="1298"/>
      <c r="C89" s="595">
        <v>44188</v>
      </c>
      <c r="D89" s="595">
        <v>44192</v>
      </c>
      <c r="E89" s="575">
        <f t="shared" si="11"/>
        <v>254500000</v>
      </c>
      <c r="F89" s="596">
        <v>0.02</v>
      </c>
      <c r="G89" s="597">
        <f>D89-C89+1</f>
        <v>5</v>
      </c>
      <c r="H89" s="598">
        <v>366</v>
      </c>
      <c r="I89" s="599">
        <f t="shared" si="14"/>
        <v>69535.519125683059</v>
      </c>
      <c r="J89" s="599">
        <f t="shared" si="15"/>
        <v>5.2634970530451874E-4</v>
      </c>
      <c r="K89" s="529">
        <f t="shared" si="13"/>
        <v>69535.518599333358</v>
      </c>
      <c r="L89" s="599">
        <v>3500000</v>
      </c>
    </row>
    <row r="90" spans="1:13" ht="38.25" hidden="1" customHeight="1" thickBot="1" x14ac:dyDescent="0.3">
      <c r="A90" s="608">
        <v>38</v>
      </c>
      <c r="B90" s="1298"/>
      <c r="C90" s="609">
        <v>44193</v>
      </c>
      <c r="D90" s="609">
        <v>44196</v>
      </c>
      <c r="E90" s="575">
        <f t="shared" si="11"/>
        <v>251000000</v>
      </c>
      <c r="F90" s="610">
        <v>0.02</v>
      </c>
      <c r="G90" s="611">
        <f>D90-C90+1</f>
        <v>4</v>
      </c>
      <c r="H90" s="612">
        <v>366</v>
      </c>
      <c r="I90" s="613">
        <f t="shared" si="14"/>
        <v>54863.387978142076</v>
      </c>
      <c r="J90" s="613">
        <f t="shared" si="15"/>
        <v>5.3368924302788846E-4</v>
      </c>
      <c r="K90" s="529">
        <f t="shared" si="13"/>
        <v>54863.387444452834</v>
      </c>
      <c r="L90" s="613">
        <v>3500000</v>
      </c>
    </row>
    <row r="91" spans="1:13" ht="33.75" customHeight="1" thickBot="1" x14ac:dyDescent="0.3">
      <c r="A91" s="522" t="s">
        <v>91</v>
      </c>
      <c r="B91" s="523" t="s">
        <v>179</v>
      </c>
      <c r="C91" s="570">
        <v>43845</v>
      </c>
      <c r="D91" s="570">
        <v>44196</v>
      </c>
      <c r="E91" s="614">
        <v>251000000</v>
      </c>
      <c r="F91" s="526">
        <v>0.02</v>
      </c>
      <c r="G91" s="527">
        <f ca="1">SUM(G53:G92)</f>
        <v>366</v>
      </c>
      <c r="H91" s="528">
        <v>366</v>
      </c>
      <c r="I91" s="572">
        <f>SUM(I53:I90)</f>
        <v>5982431.6939890701</v>
      </c>
      <c r="J91" s="572"/>
      <c r="K91" s="615">
        <f>+I91-J96</f>
        <v>3.9890697225928307E-3</v>
      </c>
      <c r="L91" s="572">
        <f>SUM(L53:L90)</f>
        <v>67000000</v>
      </c>
      <c r="M91" s="581">
        <f>+'[2]15,01,2021'!I91</f>
        <v>5982431.6939890701</v>
      </c>
    </row>
    <row r="92" spans="1:13" ht="25.5" customHeight="1" x14ac:dyDescent="0.25">
      <c r="A92" s="616">
        <v>1</v>
      </c>
      <c r="B92" s="617" t="s">
        <v>213</v>
      </c>
      <c r="C92" s="618">
        <v>44197</v>
      </c>
      <c r="D92" s="618">
        <v>44210</v>
      </c>
      <c r="E92" s="619">
        <f>E90-L92</f>
        <v>251000000</v>
      </c>
      <c r="F92" s="620">
        <v>0.02</v>
      </c>
      <c r="G92" s="621">
        <f>D92-C92+1</f>
        <v>14</v>
      </c>
      <c r="H92" s="622">
        <v>365</v>
      </c>
      <c r="I92" s="623">
        <f>E92*F92*G92/H92</f>
        <v>192547.94520547945</v>
      </c>
      <c r="J92" s="624">
        <f>F92*G92*H92/I92</f>
        <v>5.3077689243027893E-4</v>
      </c>
      <c r="K92" s="625">
        <f>+I92-J92</f>
        <v>192547.94467470256</v>
      </c>
      <c r="L92" s="623">
        <v>0</v>
      </c>
    </row>
    <row r="93" spans="1:13" ht="21.75" customHeight="1" x14ac:dyDescent="0.25">
      <c r="A93" s="582">
        <v>2</v>
      </c>
      <c r="B93" s="626"/>
      <c r="C93" s="627">
        <v>44211</v>
      </c>
      <c r="D93" s="627">
        <v>44227</v>
      </c>
      <c r="E93" s="628">
        <f t="shared" ref="E93:E101" si="16">E92-L93</f>
        <v>231220186.19999999</v>
      </c>
      <c r="F93" s="629">
        <v>0.02</v>
      </c>
      <c r="G93" s="621">
        <f>D93-C93+1</f>
        <v>17</v>
      </c>
      <c r="H93" s="630">
        <v>365</v>
      </c>
      <c r="I93" s="623">
        <f>E93*F93*G93/H93</f>
        <v>215383.18714520548</v>
      </c>
      <c r="J93" s="624">
        <f>F93*G93*H93/I93</f>
        <v>5.7618239215828475E-4</v>
      </c>
      <c r="K93" s="631">
        <f>+I93-J93</f>
        <v>215383.18656902309</v>
      </c>
      <c r="L93" s="632">
        <v>19779813.800000001</v>
      </c>
    </row>
    <row r="94" spans="1:13" ht="20.25" customHeight="1" x14ac:dyDescent="0.25">
      <c r="A94" s="608">
        <v>3</v>
      </c>
      <c r="B94" s="626"/>
      <c r="C94" s="627">
        <v>44228</v>
      </c>
      <c r="D94" s="627">
        <v>44255</v>
      </c>
      <c r="E94" s="628">
        <f t="shared" si="16"/>
        <v>231220186.19999999</v>
      </c>
      <c r="F94" s="629">
        <v>0.02</v>
      </c>
      <c r="G94" s="621">
        <f>D94-C94+1</f>
        <v>28</v>
      </c>
      <c r="H94" s="630">
        <v>365</v>
      </c>
      <c r="I94" s="623">
        <f t="shared" ref="I94:I99" si="17">E94*F94*G94/H94</f>
        <v>354748.77882739721</v>
      </c>
      <c r="J94" s="624">
        <f t="shared" ref="J94:J109" si="18">F94*G94*H94/I94</f>
        <v>5.7618239215828475E-4</v>
      </c>
      <c r="K94" s="631">
        <f>+I94-J94</f>
        <v>354748.77825121483</v>
      </c>
      <c r="L94" s="633">
        <v>0</v>
      </c>
    </row>
    <row r="95" spans="1:13" ht="21" customHeight="1" x14ac:dyDescent="0.25">
      <c r="A95" s="608">
        <v>4</v>
      </c>
      <c r="B95" s="626"/>
      <c r="C95" s="627">
        <v>44256</v>
      </c>
      <c r="D95" s="627">
        <v>44286</v>
      </c>
      <c r="E95" s="628">
        <f t="shared" si="16"/>
        <v>231220186.19999999</v>
      </c>
      <c r="F95" s="629">
        <v>0.02</v>
      </c>
      <c r="G95" s="621">
        <f t="shared" ref="G95:G126" si="19">D95-C95+1</f>
        <v>31</v>
      </c>
      <c r="H95" s="630">
        <v>365</v>
      </c>
      <c r="I95" s="623">
        <f t="shared" si="17"/>
        <v>392757.57655890402</v>
      </c>
      <c r="J95" s="624">
        <f t="shared" si="18"/>
        <v>5.7618239215828486E-4</v>
      </c>
      <c r="K95" s="631">
        <f>+I95-J95</f>
        <v>392757.57598272164</v>
      </c>
      <c r="L95" s="633">
        <v>0</v>
      </c>
    </row>
    <row r="96" spans="1:13" ht="28.5" customHeight="1" x14ac:dyDescent="0.25">
      <c r="A96" s="608">
        <v>5</v>
      </c>
      <c r="B96" s="626"/>
      <c r="C96" s="634">
        <v>44287</v>
      </c>
      <c r="D96" s="634">
        <v>44291</v>
      </c>
      <c r="E96" s="635">
        <f t="shared" si="16"/>
        <v>212000000</v>
      </c>
      <c r="F96" s="636">
        <v>0.02</v>
      </c>
      <c r="G96" s="534">
        <f t="shared" si="19"/>
        <v>5</v>
      </c>
      <c r="H96" s="637">
        <v>365</v>
      </c>
      <c r="I96" s="536">
        <f t="shared" si="17"/>
        <v>58082.191780821915</v>
      </c>
      <c r="J96" s="638">
        <v>5982431.6900000004</v>
      </c>
      <c r="K96" s="639">
        <f>+I96</f>
        <v>58082.191780821915</v>
      </c>
      <c r="L96" s="640">
        <v>19220186.199999999</v>
      </c>
    </row>
    <row r="97" spans="1:13" ht="29.25" customHeight="1" x14ac:dyDescent="0.25">
      <c r="A97" s="608">
        <v>6</v>
      </c>
      <c r="B97" s="626"/>
      <c r="C97" s="634">
        <v>44292</v>
      </c>
      <c r="D97" s="634">
        <v>44348</v>
      </c>
      <c r="E97" s="635">
        <f t="shared" si="16"/>
        <v>212000000</v>
      </c>
      <c r="F97" s="636">
        <v>0.02</v>
      </c>
      <c r="G97" s="534">
        <f t="shared" si="19"/>
        <v>57</v>
      </c>
      <c r="H97" s="637">
        <v>365</v>
      </c>
      <c r="I97" s="536">
        <f t="shared" si="17"/>
        <v>662136.98630136985</v>
      </c>
      <c r="J97" s="641">
        <f t="shared" si="18"/>
        <v>6.2841981132075479E-4</v>
      </c>
      <c r="K97" s="639">
        <f t="shared" ref="K97:K103" si="20">+I97-J97</f>
        <v>662136.98567295005</v>
      </c>
      <c r="L97" s="536">
        <v>0</v>
      </c>
    </row>
    <row r="98" spans="1:13" ht="27.75" customHeight="1" x14ac:dyDescent="0.25">
      <c r="A98" s="608">
        <v>7</v>
      </c>
      <c r="B98" s="626"/>
      <c r="C98" s="634">
        <v>44349</v>
      </c>
      <c r="D98" s="642">
        <v>44349</v>
      </c>
      <c r="E98" s="643">
        <f t="shared" si="16"/>
        <v>210000000</v>
      </c>
      <c r="F98" s="636">
        <v>0.02</v>
      </c>
      <c r="G98" s="534">
        <f t="shared" si="19"/>
        <v>1</v>
      </c>
      <c r="H98" s="637">
        <v>365</v>
      </c>
      <c r="I98" s="536">
        <f t="shared" si="17"/>
        <v>11506.849315068494</v>
      </c>
      <c r="J98" s="641">
        <f t="shared" si="18"/>
        <v>6.3440476190476192E-4</v>
      </c>
      <c r="K98" s="639">
        <f t="shared" si="20"/>
        <v>11506.848680663732</v>
      </c>
      <c r="L98" s="536">
        <v>2000000</v>
      </c>
    </row>
    <row r="99" spans="1:13" ht="18" customHeight="1" x14ac:dyDescent="0.25">
      <c r="A99" s="608">
        <v>8</v>
      </c>
      <c r="B99" s="626"/>
      <c r="C99" s="634">
        <v>44350</v>
      </c>
      <c r="D99" s="644">
        <v>44350</v>
      </c>
      <c r="E99" s="635">
        <f t="shared" si="16"/>
        <v>208000000</v>
      </c>
      <c r="F99" s="636">
        <v>0.02</v>
      </c>
      <c r="G99" s="534">
        <f t="shared" si="19"/>
        <v>1</v>
      </c>
      <c r="H99" s="637">
        <v>365</v>
      </c>
      <c r="I99" s="536">
        <f t="shared" si="17"/>
        <v>11397.260273972603</v>
      </c>
      <c r="J99" s="641">
        <f t="shared" si="18"/>
        <v>6.4050480769230764E-4</v>
      </c>
      <c r="K99" s="639">
        <f t="shared" si="20"/>
        <v>11397.259633467795</v>
      </c>
      <c r="L99" s="536">
        <v>2000000</v>
      </c>
    </row>
    <row r="100" spans="1:13" ht="21.75" customHeight="1" x14ac:dyDescent="0.25">
      <c r="A100" s="608">
        <v>9</v>
      </c>
      <c r="B100" s="626"/>
      <c r="C100" s="634">
        <v>44351</v>
      </c>
      <c r="D100" s="644">
        <v>44353</v>
      </c>
      <c r="E100" s="635">
        <f t="shared" si="16"/>
        <v>206000000</v>
      </c>
      <c r="F100" s="636">
        <v>0.02</v>
      </c>
      <c r="G100" s="534">
        <f t="shared" si="19"/>
        <v>3</v>
      </c>
      <c r="H100" s="637">
        <v>365</v>
      </c>
      <c r="I100" s="536">
        <f t="shared" ref="I100:J130" si="21">E100*F100*G100/H100</f>
        <v>33863.013698630137</v>
      </c>
      <c r="J100" s="641">
        <f t="shared" si="18"/>
        <v>6.4672330097087375E-4</v>
      </c>
      <c r="K100" s="639">
        <f t="shared" si="20"/>
        <v>33863.013051906833</v>
      </c>
      <c r="L100" s="536">
        <v>2000000</v>
      </c>
    </row>
    <row r="101" spans="1:13" ht="25.5" customHeight="1" x14ac:dyDescent="0.25">
      <c r="A101" s="608">
        <v>10</v>
      </c>
      <c r="B101" s="626"/>
      <c r="C101" s="634">
        <v>44354</v>
      </c>
      <c r="D101" s="644">
        <v>44354</v>
      </c>
      <c r="E101" s="635">
        <f t="shared" si="16"/>
        <v>204000000</v>
      </c>
      <c r="F101" s="636">
        <v>0.02</v>
      </c>
      <c r="G101" s="534">
        <f t="shared" si="19"/>
        <v>1</v>
      </c>
      <c r="H101" s="637">
        <v>365</v>
      </c>
      <c r="I101" s="536">
        <f t="shared" si="21"/>
        <v>11178.082191780823</v>
      </c>
      <c r="J101" s="641">
        <f t="shared" si="18"/>
        <v>6.5306372549019597E-4</v>
      </c>
      <c r="K101" s="639">
        <f t="shared" si="20"/>
        <v>11178.081538717097</v>
      </c>
      <c r="L101" s="536">
        <v>2000000</v>
      </c>
    </row>
    <row r="102" spans="1:13" ht="15.75" customHeight="1" x14ac:dyDescent="0.25">
      <c r="A102" s="608">
        <v>11</v>
      </c>
      <c r="B102" s="626"/>
      <c r="C102" s="634">
        <v>44355</v>
      </c>
      <c r="D102" s="644">
        <v>44355</v>
      </c>
      <c r="E102" s="635">
        <f>E101-L103</f>
        <v>202000000</v>
      </c>
      <c r="F102" s="636">
        <v>0.02</v>
      </c>
      <c r="G102" s="534">
        <f t="shared" si="19"/>
        <v>1</v>
      </c>
      <c r="H102" s="637">
        <v>365</v>
      </c>
      <c r="I102" s="536">
        <f t="shared" si="21"/>
        <v>11068.493150684932</v>
      </c>
      <c r="J102" s="641">
        <f t="shared" si="18"/>
        <v>6.5952970297029705E-4</v>
      </c>
      <c r="K102" s="639">
        <f t="shared" si="20"/>
        <v>11068.492491155228</v>
      </c>
      <c r="L102" s="536">
        <v>2000000</v>
      </c>
    </row>
    <row r="103" spans="1:13" ht="17.25" customHeight="1" x14ac:dyDescent="0.25">
      <c r="A103" s="608">
        <v>12</v>
      </c>
      <c r="B103" s="626"/>
      <c r="C103" s="634">
        <v>44356</v>
      </c>
      <c r="D103" s="644">
        <v>44356</v>
      </c>
      <c r="E103" s="635">
        <f>E102-L104</f>
        <v>200000000</v>
      </c>
      <c r="F103" s="636">
        <v>0.02</v>
      </c>
      <c r="G103" s="534">
        <f t="shared" si="19"/>
        <v>1</v>
      </c>
      <c r="H103" s="637">
        <v>365</v>
      </c>
      <c r="I103" s="536">
        <f t="shared" si="21"/>
        <v>10958.904109589041</v>
      </c>
      <c r="J103" s="641">
        <f t="shared" si="18"/>
        <v>6.6612500000000005E-4</v>
      </c>
      <c r="K103" s="639">
        <f t="shared" si="20"/>
        <v>10958.90344346404</v>
      </c>
      <c r="L103" s="536">
        <v>2000000</v>
      </c>
      <c r="M103" s="490">
        <f>99000-19220-19779</f>
        <v>60001</v>
      </c>
    </row>
    <row r="104" spans="1:13" ht="15" customHeight="1" x14ac:dyDescent="0.25">
      <c r="A104" s="608">
        <v>13</v>
      </c>
      <c r="B104" s="626"/>
      <c r="C104" s="634">
        <v>44357</v>
      </c>
      <c r="D104" s="644">
        <v>44360</v>
      </c>
      <c r="E104" s="635">
        <f t="shared" ref="E104:E118" si="22">E103-L104</f>
        <v>198000000</v>
      </c>
      <c r="F104" s="636">
        <v>0.02</v>
      </c>
      <c r="G104" s="534">
        <f t="shared" si="19"/>
        <v>4</v>
      </c>
      <c r="H104" s="637">
        <v>365</v>
      </c>
      <c r="I104" s="536">
        <f t="shared" si="21"/>
        <v>43397.260273972606</v>
      </c>
      <c r="J104" s="641">
        <f t="shared" si="18"/>
        <v>6.7285353535353532E-4</v>
      </c>
      <c r="K104" s="639">
        <f t="shared" si="13"/>
        <v>43397.259601119069</v>
      </c>
      <c r="L104" s="536">
        <v>2000000</v>
      </c>
    </row>
    <row r="105" spans="1:13" ht="18" customHeight="1" x14ac:dyDescent="0.25">
      <c r="A105" s="608">
        <v>14</v>
      </c>
      <c r="B105" s="626"/>
      <c r="C105" s="634">
        <v>44361</v>
      </c>
      <c r="D105" s="644">
        <v>44361</v>
      </c>
      <c r="E105" s="635">
        <f t="shared" si="22"/>
        <v>196000000</v>
      </c>
      <c r="F105" s="636">
        <v>0.02</v>
      </c>
      <c r="G105" s="534">
        <f t="shared" si="19"/>
        <v>1</v>
      </c>
      <c r="H105" s="637">
        <v>365</v>
      </c>
      <c r="I105" s="536">
        <f t="shared" si="21"/>
        <v>10739.726027397261</v>
      </c>
      <c r="J105" s="641">
        <f t="shared" si="18"/>
        <v>6.7971938775510197E-4</v>
      </c>
      <c r="K105" s="639">
        <f t="shared" si="13"/>
        <v>10739.725347677873</v>
      </c>
      <c r="L105" s="536">
        <v>2000000</v>
      </c>
    </row>
    <row r="106" spans="1:13" ht="26.25" customHeight="1" x14ac:dyDescent="0.25">
      <c r="A106" s="608">
        <v>15</v>
      </c>
      <c r="B106" s="626"/>
      <c r="C106" s="634">
        <v>44362</v>
      </c>
      <c r="D106" s="644">
        <v>44362</v>
      </c>
      <c r="E106" s="635">
        <f t="shared" si="22"/>
        <v>194000000</v>
      </c>
      <c r="F106" s="636">
        <v>0.02</v>
      </c>
      <c r="G106" s="534">
        <f t="shared" si="19"/>
        <v>1</v>
      </c>
      <c r="H106" s="637">
        <v>365</v>
      </c>
      <c r="I106" s="536">
        <f t="shared" si="21"/>
        <v>10630.13698630137</v>
      </c>
      <c r="J106" s="641">
        <f t="shared" si="18"/>
        <v>6.8672680412371133E-4</v>
      </c>
      <c r="K106" s="639">
        <f t="shared" si="13"/>
        <v>10630.136299574566</v>
      </c>
      <c r="L106" s="536">
        <v>2000000</v>
      </c>
    </row>
    <row r="107" spans="1:13" ht="33" customHeight="1" x14ac:dyDescent="0.25">
      <c r="A107" s="608">
        <v>16</v>
      </c>
      <c r="B107" s="645">
        <f>530000000-L143</f>
        <v>121999067</v>
      </c>
      <c r="C107" s="634">
        <v>44363</v>
      </c>
      <c r="D107" s="644">
        <v>44363</v>
      </c>
      <c r="E107" s="635">
        <f t="shared" si="22"/>
        <v>192000000</v>
      </c>
      <c r="F107" s="636">
        <v>0.02</v>
      </c>
      <c r="G107" s="534">
        <f t="shared" si="19"/>
        <v>1</v>
      </c>
      <c r="H107" s="637">
        <v>365</v>
      </c>
      <c r="I107" s="536">
        <f t="shared" si="21"/>
        <v>10520.547945205479</v>
      </c>
      <c r="J107" s="641">
        <f t="shared" si="18"/>
        <v>6.9388020833333335E-4</v>
      </c>
      <c r="K107" s="639">
        <f t="shared" si="13"/>
        <v>10520.54725132527</v>
      </c>
      <c r="L107" s="536">
        <v>2000000</v>
      </c>
    </row>
    <row r="108" spans="1:13" ht="19.5" customHeight="1" x14ac:dyDescent="0.25">
      <c r="A108" s="608">
        <v>17</v>
      </c>
      <c r="B108" s="626"/>
      <c r="C108" s="634">
        <v>44364</v>
      </c>
      <c r="D108" s="644">
        <v>44364</v>
      </c>
      <c r="E108" s="635">
        <f t="shared" si="22"/>
        <v>190000000</v>
      </c>
      <c r="F108" s="636">
        <v>0.02</v>
      </c>
      <c r="G108" s="534">
        <f t="shared" si="19"/>
        <v>1</v>
      </c>
      <c r="H108" s="637">
        <v>365</v>
      </c>
      <c r="I108" s="536">
        <f t="shared" si="21"/>
        <v>10410.95890410959</v>
      </c>
      <c r="J108" s="641">
        <f t="shared" si="18"/>
        <v>7.0118421052631577E-4</v>
      </c>
      <c r="K108" s="639">
        <f t="shared" si="13"/>
        <v>10410.95820292538</v>
      </c>
      <c r="L108" s="536">
        <v>2000000</v>
      </c>
    </row>
    <row r="109" spans="1:13" ht="14.25" customHeight="1" x14ac:dyDescent="0.25">
      <c r="A109" s="608">
        <v>18</v>
      </c>
      <c r="B109" s="626"/>
      <c r="C109" s="634">
        <v>44365</v>
      </c>
      <c r="D109" s="644">
        <v>44367</v>
      </c>
      <c r="E109" s="635">
        <f t="shared" si="22"/>
        <v>188000000</v>
      </c>
      <c r="F109" s="636">
        <v>0.02</v>
      </c>
      <c r="G109" s="534">
        <f t="shared" si="19"/>
        <v>3</v>
      </c>
      <c r="H109" s="637">
        <v>365</v>
      </c>
      <c r="I109" s="536">
        <f t="shared" si="21"/>
        <v>30904.109589041094</v>
      </c>
      <c r="J109" s="641">
        <f t="shared" si="18"/>
        <v>7.0864361702127664E-4</v>
      </c>
      <c r="K109" s="639">
        <f t="shared" si="13"/>
        <v>30904.108880397478</v>
      </c>
      <c r="L109" s="536">
        <v>2000000</v>
      </c>
    </row>
    <row r="110" spans="1:13" ht="22.5" customHeight="1" x14ac:dyDescent="0.25">
      <c r="A110" s="608">
        <v>19</v>
      </c>
      <c r="B110" s="626"/>
      <c r="C110" s="634">
        <v>44368</v>
      </c>
      <c r="D110" s="644">
        <v>44368</v>
      </c>
      <c r="E110" s="635">
        <f t="shared" si="22"/>
        <v>186000000</v>
      </c>
      <c r="F110" s="636">
        <v>0.02</v>
      </c>
      <c r="G110" s="534">
        <f t="shared" si="19"/>
        <v>1</v>
      </c>
      <c r="H110" s="637">
        <v>365</v>
      </c>
      <c r="I110" s="536">
        <f t="shared" si="21"/>
        <v>10191.780821917808</v>
      </c>
      <c r="J110" s="641">
        <f t="shared" si="21"/>
        <v>7.1626344086021506E-4</v>
      </c>
      <c r="K110" s="639">
        <f t="shared" si="13"/>
        <v>10191.780105654367</v>
      </c>
      <c r="L110" s="536">
        <v>2000000</v>
      </c>
    </row>
    <row r="111" spans="1:13" ht="14.25" customHeight="1" x14ac:dyDescent="0.25">
      <c r="A111" s="608">
        <v>20</v>
      </c>
      <c r="B111" s="626"/>
      <c r="C111" s="634">
        <v>44369</v>
      </c>
      <c r="D111" s="644">
        <v>44369</v>
      </c>
      <c r="E111" s="635">
        <f t="shared" si="22"/>
        <v>184000000</v>
      </c>
      <c r="F111" s="636">
        <v>0.02</v>
      </c>
      <c r="G111" s="534">
        <f t="shared" si="19"/>
        <v>1</v>
      </c>
      <c r="H111" s="637">
        <v>365</v>
      </c>
      <c r="I111" s="536">
        <f t="shared" si="21"/>
        <v>10082.191780821919</v>
      </c>
      <c r="J111" s="641">
        <f t="shared" si="21"/>
        <v>7.240489130434782E-4</v>
      </c>
      <c r="K111" s="639">
        <f t="shared" si="13"/>
        <v>10082.191056773006</v>
      </c>
      <c r="L111" s="536">
        <v>2000000</v>
      </c>
    </row>
    <row r="112" spans="1:13" ht="32.25" customHeight="1" x14ac:dyDescent="0.25">
      <c r="A112" s="608">
        <v>21</v>
      </c>
      <c r="B112" s="626"/>
      <c r="C112" s="634">
        <v>44370</v>
      </c>
      <c r="D112" s="644">
        <v>44370</v>
      </c>
      <c r="E112" s="635">
        <f t="shared" si="22"/>
        <v>182000000</v>
      </c>
      <c r="F112" s="636">
        <v>0.02</v>
      </c>
      <c r="G112" s="534">
        <f t="shared" si="19"/>
        <v>1</v>
      </c>
      <c r="H112" s="637">
        <v>365</v>
      </c>
      <c r="I112" s="536">
        <f t="shared" si="21"/>
        <v>9972.6027397260277</v>
      </c>
      <c r="J112" s="641">
        <f t="shared" si="21"/>
        <v>7.3200549450549448E-4</v>
      </c>
      <c r="K112" s="639">
        <f t="shared" si="13"/>
        <v>9972.6020077205339</v>
      </c>
      <c r="L112" s="536">
        <v>2000000</v>
      </c>
    </row>
    <row r="113" spans="1:13" ht="13.5" customHeight="1" x14ac:dyDescent="0.25">
      <c r="A113" s="608">
        <v>22</v>
      </c>
      <c r="B113" s="626"/>
      <c r="C113" s="634">
        <v>44371</v>
      </c>
      <c r="D113" s="644">
        <v>44371</v>
      </c>
      <c r="E113" s="635">
        <f t="shared" si="22"/>
        <v>180000000</v>
      </c>
      <c r="F113" s="636">
        <v>0.02</v>
      </c>
      <c r="G113" s="534">
        <f t="shared" si="19"/>
        <v>1</v>
      </c>
      <c r="H113" s="637">
        <v>365</v>
      </c>
      <c r="I113" s="536">
        <f t="shared" si="21"/>
        <v>9863.0136986301368</v>
      </c>
      <c r="J113" s="641">
        <f t="shared" si="21"/>
        <v>7.4013888888888892E-4</v>
      </c>
      <c r="K113" s="639">
        <f t="shared" si="13"/>
        <v>9863.0129584912484</v>
      </c>
      <c r="L113" s="536">
        <v>2000000</v>
      </c>
      <c r="M113" s="646"/>
    </row>
    <row r="114" spans="1:13" ht="15" customHeight="1" thickBot="1" x14ac:dyDescent="0.3">
      <c r="A114" s="608">
        <v>23</v>
      </c>
      <c r="B114" s="626"/>
      <c r="C114" s="634">
        <v>44372</v>
      </c>
      <c r="D114" s="644">
        <v>44376</v>
      </c>
      <c r="E114" s="635">
        <f t="shared" si="22"/>
        <v>178000000</v>
      </c>
      <c r="F114" s="636">
        <v>0.02</v>
      </c>
      <c r="G114" s="534">
        <f t="shared" si="19"/>
        <v>5</v>
      </c>
      <c r="H114" s="637">
        <v>365</v>
      </c>
      <c r="I114" s="536">
        <f t="shared" si="21"/>
        <v>48767.123287671231</v>
      </c>
      <c r="J114" s="641">
        <f t="shared" si="21"/>
        <v>7.4845505617977533E-4</v>
      </c>
      <c r="K114" s="639">
        <f t="shared" si="13"/>
        <v>48767.122539216172</v>
      </c>
      <c r="L114" s="536">
        <v>2000000</v>
      </c>
    </row>
    <row r="115" spans="1:13" ht="16.5" customHeight="1" x14ac:dyDescent="0.25">
      <c r="A115" s="608">
        <v>24</v>
      </c>
      <c r="B115" s="626"/>
      <c r="C115" s="647">
        <v>44377</v>
      </c>
      <c r="D115" s="648">
        <v>44378</v>
      </c>
      <c r="E115" s="635">
        <f t="shared" si="22"/>
        <v>176000000</v>
      </c>
      <c r="F115" s="636">
        <v>0.02</v>
      </c>
      <c r="G115" s="534">
        <f t="shared" si="19"/>
        <v>2</v>
      </c>
      <c r="H115" s="637">
        <v>365</v>
      </c>
      <c r="I115" s="536">
        <f t="shared" si="21"/>
        <v>19287.671232876713</v>
      </c>
      <c r="J115" s="641">
        <f t="shared" si="21"/>
        <v>7.5696022727272721E-4</v>
      </c>
      <c r="K115" s="639">
        <f t="shared" si="13"/>
        <v>19287.670475916486</v>
      </c>
      <c r="L115" s="536">
        <v>2000000</v>
      </c>
    </row>
    <row r="116" spans="1:13" ht="15.75" customHeight="1" x14ac:dyDescent="0.25">
      <c r="A116" s="608">
        <v>25</v>
      </c>
      <c r="B116" s="626"/>
      <c r="C116" s="649">
        <v>44379</v>
      </c>
      <c r="D116" s="650">
        <v>44381</v>
      </c>
      <c r="E116" s="651">
        <f t="shared" si="22"/>
        <v>174000000</v>
      </c>
      <c r="F116" s="652">
        <v>0.02</v>
      </c>
      <c r="G116" s="653">
        <f t="shared" si="19"/>
        <v>3</v>
      </c>
      <c r="H116" s="654">
        <v>365</v>
      </c>
      <c r="I116" s="655">
        <f t="shared" si="21"/>
        <v>28602.739726027397</v>
      </c>
      <c r="J116" s="656">
        <f t="shared" si="21"/>
        <v>7.6566091954022981E-4</v>
      </c>
      <c r="K116" s="657">
        <f t="shared" si="13"/>
        <v>28602.738960366478</v>
      </c>
      <c r="L116" s="655">
        <v>2000000</v>
      </c>
    </row>
    <row r="117" spans="1:13" ht="24" customHeight="1" x14ac:dyDescent="0.25">
      <c r="A117" s="608">
        <v>26</v>
      </c>
      <c r="B117" s="626"/>
      <c r="C117" s="649">
        <v>44382</v>
      </c>
      <c r="D117" s="650">
        <v>44382</v>
      </c>
      <c r="E117" s="651">
        <f t="shared" si="22"/>
        <v>172000000</v>
      </c>
      <c r="F117" s="652">
        <v>0.02</v>
      </c>
      <c r="G117" s="653">
        <f t="shared" si="19"/>
        <v>1</v>
      </c>
      <c r="H117" s="654">
        <v>365</v>
      </c>
      <c r="I117" s="655">
        <f t="shared" si="21"/>
        <v>9424.6575342465749</v>
      </c>
      <c r="J117" s="656">
        <f t="shared" si="21"/>
        <v>7.7456395348837216E-4</v>
      </c>
      <c r="K117" s="657">
        <f t="shared" si="13"/>
        <v>9424.6567596826208</v>
      </c>
      <c r="L117" s="655">
        <v>2000000</v>
      </c>
    </row>
    <row r="118" spans="1:13" ht="18.75" customHeight="1" x14ac:dyDescent="0.25">
      <c r="A118" s="608">
        <v>27</v>
      </c>
      <c r="B118" s="626"/>
      <c r="C118" s="649">
        <v>44383</v>
      </c>
      <c r="D118" s="650">
        <v>44384</v>
      </c>
      <c r="E118" s="651">
        <f t="shared" si="22"/>
        <v>170000000</v>
      </c>
      <c r="F118" s="652">
        <v>0.02</v>
      </c>
      <c r="G118" s="653">
        <f t="shared" si="19"/>
        <v>2</v>
      </c>
      <c r="H118" s="654">
        <v>365</v>
      </c>
      <c r="I118" s="655">
        <f t="shared" si="21"/>
        <v>18630.136986301372</v>
      </c>
      <c r="J118" s="656">
        <f t="shared" si="21"/>
        <v>7.8367647058823523E-4</v>
      </c>
      <c r="K118" s="657">
        <f t="shared" si="13"/>
        <v>18630.136202624901</v>
      </c>
      <c r="L118" s="655">
        <v>2000000</v>
      </c>
    </row>
    <row r="119" spans="1:13" ht="15.75" x14ac:dyDescent="0.25">
      <c r="A119" s="608">
        <v>28</v>
      </c>
      <c r="B119" s="626"/>
      <c r="C119" s="649">
        <v>44385</v>
      </c>
      <c r="D119" s="650">
        <v>44385</v>
      </c>
      <c r="E119" s="651">
        <f t="shared" ref="E119:E131" si="23">E118-L119</f>
        <v>168000000</v>
      </c>
      <c r="F119" s="652">
        <v>0.02</v>
      </c>
      <c r="G119" s="653">
        <f t="shared" si="19"/>
        <v>1</v>
      </c>
      <c r="H119" s="654">
        <v>365</v>
      </c>
      <c r="I119" s="655">
        <f t="shared" si="21"/>
        <v>9205.4794520547948</v>
      </c>
      <c r="J119" s="656">
        <f t="shared" si="21"/>
        <v>7.9300595238095237E-4</v>
      </c>
      <c r="K119" s="657">
        <f t="shared" si="13"/>
        <v>9205.478659048842</v>
      </c>
      <c r="L119" s="655">
        <v>2000000</v>
      </c>
    </row>
    <row r="120" spans="1:13" ht="25.5" customHeight="1" x14ac:dyDescent="0.25">
      <c r="A120" s="608">
        <v>29</v>
      </c>
      <c r="B120" s="626"/>
      <c r="C120" s="649">
        <v>44386</v>
      </c>
      <c r="D120" s="650">
        <v>44388</v>
      </c>
      <c r="E120" s="651">
        <f t="shared" si="23"/>
        <v>166000000</v>
      </c>
      <c r="F120" s="652">
        <v>0.02</v>
      </c>
      <c r="G120" s="653">
        <f t="shared" si="19"/>
        <v>3</v>
      </c>
      <c r="H120" s="654">
        <v>365</v>
      </c>
      <c r="I120" s="655">
        <f t="shared" si="21"/>
        <v>27287.671232876713</v>
      </c>
      <c r="J120" s="656">
        <f t="shared" si="21"/>
        <v>8.0256024096385533E-4</v>
      </c>
      <c r="K120" s="657">
        <f t="shared" si="13"/>
        <v>27287.670430316473</v>
      </c>
      <c r="L120" s="655">
        <v>2000000</v>
      </c>
    </row>
    <row r="121" spans="1:13" ht="27.75" customHeight="1" x14ac:dyDescent="0.25">
      <c r="A121" s="608">
        <v>30</v>
      </c>
      <c r="B121" s="626"/>
      <c r="C121" s="649">
        <v>44389</v>
      </c>
      <c r="D121" s="650">
        <v>44389</v>
      </c>
      <c r="E121" s="651">
        <f t="shared" si="23"/>
        <v>164000000</v>
      </c>
      <c r="F121" s="652">
        <v>0.02</v>
      </c>
      <c r="G121" s="653">
        <f t="shared" si="19"/>
        <v>1</v>
      </c>
      <c r="H121" s="654">
        <v>365</v>
      </c>
      <c r="I121" s="655">
        <f t="shared" si="21"/>
        <v>8986.301369863013</v>
      </c>
      <c r="J121" s="656">
        <f t="shared" si="21"/>
        <v>8.1234756097560976E-4</v>
      </c>
      <c r="K121" s="657">
        <f t="shared" si="13"/>
        <v>8986.3005575154511</v>
      </c>
      <c r="L121" s="655">
        <v>2000000</v>
      </c>
    </row>
    <row r="122" spans="1:13" ht="15.75" customHeight="1" x14ac:dyDescent="0.25">
      <c r="A122" s="608">
        <v>31</v>
      </c>
      <c r="B122" s="626"/>
      <c r="C122" s="649">
        <v>44390</v>
      </c>
      <c r="D122" s="650">
        <v>44390</v>
      </c>
      <c r="E122" s="651">
        <f t="shared" si="23"/>
        <v>162000000</v>
      </c>
      <c r="F122" s="652">
        <v>0.02</v>
      </c>
      <c r="G122" s="653">
        <f t="shared" si="19"/>
        <v>1</v>
      </c>
      <c r="H122" s="654">
        <v>365</v>
      </c>
      <c r="I122" s="655">
        <f t="shared" si="21"/>
        <v>8876.7123287671238</v>
      </c>
      <c r="J122" s="656">
        <f t="shared" si="21"/>
        <v>8.2237654320987648E-4</v>
      </c>
      <c r="K122" s="657">
        <f t="shared" si="13"/>
        <v>8876.7115063905803</v>
      </c>
      <c r="L122" s="655">
        <v>2000000</v>
      </c>
    </row>
    <row r="123" spans="1:13" ht="12.75" customHeight="1" x14ac:dyDescent="0.25">
      <c r="A123" s="608">
        <v>32</v>
      </c>
      <c r="B123" s="626"/>
      <c r="C123" s="649">
        <v>44391</v>
      </c>
      <c r="D123" s="650">
        <v>44391</v>
      </c>
      <c r="E123" s="651">
        <f t="shared" si="23"/>
        <v>160000000</v>
      </c>
      <c r="F123" s="652">
        <v>0.02</v>
      </c>
      <c r="G123" s="653">
        <f t="shared" si="19"/>
        <v>1</v>
      </c>
      <c r="H123" s="654">
        <v>365</v>
      </c>
      <c r="I123" s="655">
        <f t="shared" si="21"/>
        <v>8767.1232876712329</v>
      </c>
      <c r="J123" s="656">
        <f t="shared" si="21"/>
        <v>8.3265624999999995E-4</v>
      </c>
      <c r="K123" s="657">
        <f t="shared" si="13"/>
        <v>8767.1224550149836</v>
      </c>
      <c r="L123" s="655">
        <v>2000000</v>
      </c>
    </row>
    <row r="124" spans="1:13" ht="26.25" customHeight="1" x14ac:dyDescent="0.25">
      <c r="A124" s="608">
        <v>33</v>
      </c>
      <c r="B124" s="626"/>
      <c r="C124" s="649">
        <v>44392</v>
      </c>
      <c r="D124" s="650">
        <v>44395</v>
      </c>
      <c r="E124" s="651">
        <f t="shared" si="23"/>
        <v>158000000</v>
      </c>
      <c r="F124" s="652">
        <v>0.02</v>
      </c>
      <c r="G124" s="653">
        <f t="shared" si="19"/>
        <v>4</v>
      </c>
      <c r="H124" s="654">
        <v>365</v>
      </c>
      <c r="I124" s="655">
        <f t="shared" si="21"/>
        <v>34630.136986301368</v>
      </c>
      <c r="J124" s="656">
        <f t="shared" si="21"/>
        <v>8.4319620253164558E-4</v>
      </c>
      <c r="K124" s="657">
        <f t="shared" si="13"/>
        <v>34630.136143105163</v>
      </c>
      <c r="L124" s="655">
        <v>2000000</v>
      </c>
    </row>
    <row r="125" spans="1:13" ht="18" customHeight="1" x14ac:dyDescent="0.25">
      <c r="A125" s="608">
        <v>34</v>
      </c>
      <c r="B125" s="626"/>
      <c r="C125" s="649">
        <v>44396</v>
      </c>
      <c r="D125" s="650">
        <v>44397</v>
      </c>
      <c r="E125" s="651">
        <f t="shared" si="23"/>
        <v>156000000</v>
      </c>
      <c r="F125" s="652">
        <v>0.02</v>
      </c>
      <c r="G125" s="653">
        <f t="shared" si="19"/>
        <v>2</v>
      </c>
      <c r="H125" s="654">
        <v>365</v>
      </c>
      <c r="I125" s="655">
        <f t="shared" si="21"/>
        <v>17095.890410958906</v>
      </c>
      <c r="J125" s="656">
        <f t="shared" si="21"/>
        <v>8.5400641025641015E-4</v>
      </c>
      <c r="K125" s="657">
        <f>+I125-J125</f>
        <v>17095.889556952494</v>
      </c>
      <c r="L125" s="655">
        <v>2000000</v>
      </c>
    </row>
    <row r="126" spans="1:13" ht="30.75" customHeight="1" x14ac:dyDescent="0.25">
      <c r="A126" s="608">
        <v>35</v>
      </c>
      <c r="B126" s="626"/>
      <c r="C126" s="649">
        <v>44398</v>
      </c>
      <c r="D126" s="650">
        <v>44398</v>
      </c>
      <c r="E126" s="651">
        <f t="shared" si="23"/>
        <v>154000000</v>
      </c>
      <c r="F126" s="652">
        <v>0.02</v>
      </c>
      <c r="G126" s="653">
        <f t="shared" si="19"/>
        <v>1</v>
      </c>
      <c r="H126" s="654">
        <v>365</v>
      </c>
      <c r="I126" s="655">
        <f t="shared" si="21"/>
        <v>8438.3561643835619</v>
      </c>
      <c r="J126" s="656">
        <f t="shared" si="21"/>
        <v>8.6509740259740257E-4</v>
      </c>
      <c r="K126" s="657">
        <f>+I126-J126</f>
        <v>8438.3552992861587</v>
      </c>
      <c r="L126" s="655">
        <v>2000000</v>
      </c>
    </row>
    <row r="127" spans="1:13" ht="21.75" customHeight="1" x14ac:dyDescent="0.25">
      <c r="A127" s="608">
        <v>36</v>
      </c>
      <c r="B127" s="626"/>
      <c r="C127" s="649">
        <v>44399</v>
      </c>
      <c r="D127" s="650">
        <v>44402</v>
      </c>
      <c r="E127" s="651">
        <f t="shared" si="23"/>
        <v>152000000</v>
      </c>
      <c r="F127" s="652">
        <v>0.02</v>
      </c>
      <c r="G127" s="653">
        <f t="shared" ref="G127:G132" si="24">D127-C127+1</f>
        <v>4</v>
      </c>
      <c r="H127" s="654">
        <v>365</v>
      </c>
      <c r="I127" s="655">
        <f>E127*F127*G127/H127</f>
        <v>33315.068493150684</v>
      </c>
      <c r="J127" s="656">
        <f t="shared" si="21"/>
        <v>8.7648026315789479E-4</v>
      </c>
      <c r="K127" s="657">
        <f>+I127-J127</f>
        <v>33315.067616670422</v>
      </c>
      <c r="L127" s="655">
        <v>2000000</v>
      </c>
    </row>
    <row r="128" spans="1:13" ht="21" customHeight="1" x14ac:dyDescent="0.25">
      <c r="A128" s="608">
        <v>37</v>
      </c>
      <c r="B128" s="626"/>
      <c r="C128" s="649">
        <v>44403</v>
      </c>
      <c r="D128" s="650">
        <v>44403</v>
      </c>
      <c r="E128" s="651">
        <f t="shared" si="23"/>
        <v>150000000</v>
      </c>
      <c r="F128" s="652">
        <v>0.02</v>
      </c>
      <c r="G128" s="653">
        <f t="shared" si="24"/>
        <v>1</v>
      </c>
      <c r="H128" s="654">
        <v>365</v>
      </c>
      <c r="I128" s="655">
        <f t="shared" si="21"/>
        <v>8219.17808219178</v>
      </c>
      <c r="J128" s="656">
        <f t="shared" si="21"/>
        <v>8.8816666666666677E-4</v>
      </c>
      <c r="K128" s="657">
        <f>+I128-J128</f>
        <v>8219.1771940251128</v>
      </c>
      <c r="L128" s="655">
        <v>2000000</v>
      </c>
    </row>
    <row r="129" spans="1:15" ht="18" customHeight="1" x14ac:dyDescent="0.25">
      <c r="A129" s="608">
        <v>38</v>
      </c>
      <c r="B129" s="626"/>
      <c r="C129" s="649">
        <v>44404</v>
      </c>
      <c r="D129" s="650">
        <v>44405</v>
      </c>
      <c r="E129" s="651">
        <f t="shared" si="23"/>
        <v>148000000</v>
      </c>
      <c r="F129" s="652">
        <v>0.02</v>
      </c>
      <c r="G129" s="653">
        <f t="shared" si="24"/>
        <v>2</v>
      </c>
      <c r="H129" s="654">
        <v>365</v>
      </c>
      <c r="I129" s="655">
        <f t="shared" si="21"/>
        <v>16219.17808219178</v>
      </c>
      <c r="J129" s="656">
        <f t="shared" si="21"/>
        <v>9.0016891891891895E-4</v>
      </c>
      <c r="K129" s="657">
        <f t="shared" si="13"/>
        <v>16219.177182022861</v>
      </c>
      <c r="L129" s="655">
        <v>2000000</v>
      </c>
    </row>
    <row r="130" spans="1:15" ht="21" customHeight="1" thickBot="1" x14ac:dyDescent="0.3">
      <c r="A130" s="608">
        <v>39</v>
      </c>
      <c r="B130" s="617" t="s">
        <v>213</v>
      </c>
      <c r="C130" s="658">
        <v>44406</v>
      </c>
      <c r="D130" s="650">
        <v>44406</v>
      </c>
      <c r="E130" s="651">
        <f t="shared" si="23"/>
        <v>146000000</v>
      </c>
      <c r="F130" s="652">
        <v>0.02</v>
      </c>
      <c r="G130" s="653">
        <f t="shared" si="24"/>
        <v>1</v>
      </c>
      <c r="H130" s="654">
        <v>365</v>
      </c>
      <c r="I130" s="655">
        <f t="shared" si="21"/>
        <v>8000</v>
      </c>
      <c r="J130" s="656">
        <f>F130*G130*H130/I130</f>
        <v>9.1250000000000001E-4</v>
      </c>
      <c r="K130" s="657">
        <f>+I130-J130</f>
        <v>7999.9990875000003</v>
      </c>
      <c r="L130" s="655">
        <v>2000000</v>
      </c>
    </row>
    <row r="131" spans="1:15" ht="30.75" customHeight="1" thickBot="1" x14ac:dyDescent="0.3">
      <c r="A131" s="608">
        <v>40</v>
      </c>
      <c r="B131" s="645">
        <f>530000000-L143</f>
        <v>121999067</v>
      </c>
      <c r="C131" s="659">
        <v>44407</v>
      </c>
      <c r="D131" s="660">
        <v>44412</v>
      </c>
      <c r="E131" s="651">
        <f t="shared" si="23"/>
        <v>144000000</v>
      </c>
      <c r="F131" s="652">
        <v>0.02</v>
      </c>
      <c r="G131" s="661">
        <f t="shared" si="24"/>
        <v>6</v>
      </c>
      <c r="H131" s="654">
        <v>365</v>
      </c>
      <c r="I131" s="662">
        <f>E131*F131*G131/H131</f>
        <v>47342.465753424658</v>
      </c>
      <c r="J131" s="663">
        <f>F131*G131*H131/I131</f>
        <v>9.2517361111111099E-4</v>
      </c>
      <c r="K131" s="657">
        <f>+I131-J131</f>
        <v>47342.464828251046</v>
      </c>
      <c r="L131" s="662">
        <v>2000000</v>
      </c>
      <c r="O131" s="664"/>
    </row>
    <row r="132" spans="1:15" ht="32.25" customHeight="1" thickBot="1" x14ac:dyDescent="0.3">
      <c r="A132" s="608">
        <v>41</v>
      </c>
      <c r="B132" s="626"/>
      <c r="C132" s="665">
        <v>44413</v>
      </c>
      <c r="D132" s="665">
        <v>44561</v>
      </c>
      <c r="E132" s="666">
        <f>E131-L132</f>
        <v>121999067</v>
      </c>
      <c r="F132" s="667">
        <v>0.02</v>
      </c>
      <c r="G132" s="668">
        <f t="shared" si="24"/>
        <v>149</v>
      </c>
      <c r="H132" s="668">
        <v>365</v>
      </c>
      <c r="I132" s="669">
        <f>E132*F132*G132/H132</f>
        <v>996047.17715068487</v>
      </c>
      <c r="J132" s="669">
        <f>F132*G132*H132/I132</f>
        <v>1.0920165479626168E-3</v>
      </c>
      <c r="K132" s="681">
        <f>+I132-J132</f>
        <v>996047.17605866829</v>
      </c>
      <c r="L132" s="670">
        <v>22000933</v>
      </c>
    </row>
    <row r="133" spans="1:15" ht="30.75" customHeight="1" thickBot="1" x14ac:dyDescent="0.3">
      <c r="A133" s="522" t="s">
        <v>91</v>
      </c>
      <c r="B133" s="523" t="s">
        <v>181</v>
      </c>
      <c r="C133" s="523" t="s">
        <v>91</v>
      </c>
      <c r="D133" s="523" t="s">
        <v>91</v>
      </c>
      <c r="E133" s="523" t="s">
        <v>91</v>
      </c>
      <c r="F133" s="526">
        <v>0.02</v>
      </c>
      <c r="G133" s="527">
        <f>SUM(G92:G132)</f>
        <v>365</v>
      </c>
      <c r="H133" s="528">
        <v>365</v>
      </c>
      <c r="I133" s="671">
        <f>SUM(I92:I132)</f>
        <v>3479484.6648876714</v>
      </c>
      <c r="J133" s="572">
        <f>SUM(J92:J132)</f>
        <v>5982431.7198926304</v>
      </c>
      <c r="K133" s="682">
        <f>SUM(K92:K132)</f>
        <v>3479484.6349950409</v>
      </c>
      <c r="L133" s="572">
        <f>SUM(L92:L132)</f>
        <v>129000933</v>
      </c>
      <c r="M133" s="672"/>
    </row>
    <row r="134" spans="1:15" ht="25.5" customHeight="1" thickBot="1" x14ac:dyDescent="0.3">
      <c r="A134" s="896">
        <v>1</v>
      </c>
      <c r="B134" s="617" t="s">
        <v>213</v>
      </c>
      <c r="C134" s="665">
        <v>44562</v>
      </c>
      <c r="D134" s="665">
        <v>44592</v>
      </c>
      <c r="E134" s="897">
        <f>E132-L134</f>
        <v>121999067</v>
      </c>
      <c r="F134" s="667">
        <v>0.02</v>
      </c>
      <c r="G134" s="921">
        <f>D134-C134+1</f>
        <v>31</v>
      </c>
      <c r="H134" s="668">
        <v>365</v>
      </c>
      <c r="I134" s="669">
        <f t="shared" ref="I134:J136" si="25">E134*F134*G134/H134</f>
        <v>207231.29189041094</v>
      </c>
      <c r="J134" s="669">
        <f t="shared" si="25"/>
        <v>1.092016547962617E-3</v>
      </c>
      <c r="K134" s="669">
        <f>I134-J134</f>
        <v>207231.29079839439</v>
      </c>
      <c r="L134" s="924">
        <v>0</v>
      </c>
      <c r="M134" s="672"/>
    </row>
    <row r="135" spans="1:15" ht="25.5" customHeight="1" thickBot="1" x14ac:dyDescent="0.3">
      <c r="A135" s="896">
        <v>2</v>
      </c>
      <c r="B135" s="617"/>
      <c r="C135" s="665">
        <v>44593</v>
      </c>
      <c r="D135" s="665">
        <v>44620</v>
      </c>
      <c r="E135" s="897">
        <f>E134-L135</f>
        <v>121999067</v>
      </c>
      <c r="F135" s="667">
        <v>0.02</v>
      </c>
      <c r="G135" s="921">
        <f>D135-C135+1</f>
        <v>28</v>
      </c>
      <c r="H135" s="668">
        <v>365</v>
      </c>
      <c r="I135" s="669">
        <f t="shared" si="25"/>
        <v>187176.65073972603</v>
      </c>
      <c r="J135" s="669">
        <f t="shared" si="25"/>
        <v>1.0920165479626168E-3</v>
      </c>
      <c r="K135" s="669">
        <f>I135-J135</f>
        <v>187176.64964770948</v>
      </c>
      <c r="L135" s="924">
        <v>0</v>
      </c>
      <c r="M135" s="672"/>
    </row>
    <row r="136" spans="1:15" ht="25.5" customHeight="1" thickBot="1" x14ac:dyDescent="0.3">
      <c r="A136" s="896">
        <v>3</v>
      </c>
      <c r="B136" s="645">
        <f>530000000-L143</f>
        <v>121999067</v>
      </c>
      <c r="C136" s="665">
        <v>44621</v>
      </c>
      <c r="D136" s="665">
        <v>44651</v>
      </c>
      <c r="E136" s="897">
        <f>E135-L136</f>
        <v>121999067</v>
      </c>
      <c r="F136" s="667">
        <v>0.02</v>
      </c>
      <c r="G136" s="921">
        <f>D136-C136+1</f>
        <v>31</v>
      </c>
      <c r="H136" s="668">
        <v>365</v>
      </c>
      <c r="I136" s="669">
        <f t="shared" si="25"/>
        <v>207231.29189041094</v>
      </c>
      <c r="J136" s="669">
        <f t="shared" si="25"/>
        <v>1.092016547962617E-3</v>
      </c>
      <c r="K136" s="669">
        <f>I136-J136</f>
        <v>207231.29079839439</v>
      </c>
      <c r="L136" s="924">
        <v>0</v>
      </c>
      <c r="M136" s="672"/>
    </row>
    <row r="137" spans="1:15" ht="25.5" customHeight="1" thickBot="1" x14ac:dyDescent="0.3">
      <c r="A137" s="896">
        <v>4</v>
      </c>
      <c r="B137" s="645"/>
      <c r="C137" s="665"/>
      <c r="D137" s="665"/>
      <c r="E137" s="897"/>
      <c r="F137" s="667"/>
      <c r="G137" s="921"/>
      <c r="H137" s="668"/>
      <c r="I137" s="669"/>
      <c r="J137" s="669"/>
      <c r="K137" s="665"/>
      <c r="L137" s="924"/>
      <c r="M137" s="672"/>
    </row>
    <row r="138" spans="1:15" ht="25.5" customHeight="1" thickBot="1" x14ac:dyDescent="0.3">
      <c r="A138" s="896"/>
      <c r="B138" s="645"/>
      <c r="C138" s="665"/>
      <c r="D138" s="665"/>
      <c r="E138" s="925"/>
      <c r="F138" s="926"/>
      <c r="G138" s="927"/>
      <c r="H138" s="928"/>
      <c r="I138" s="929"/>
      <c r="J138" s="929"/>
      <c r="K138" s="930"/>
      <c r="L138" s="931"/>
      <c r="M138" s="672"/>
    </row>
    <row r="139" spans="1:15" ht="25.5" customHeight="1" thickBot="1" x14ac:dyDescent="0.3">
      <c r="A139" s="896"/>
      <c r="B139" s="645"/>
      <c r="C139" s="665"/>
      <c r="D139" s="665"/>
      <c r="E139" s="925"/>
      <c r="F139" s="926"/>
      <c r="G139" s="927"/>
      <c r="H139" s="928"/>
      <c r="I139" s="929"/>
      <c r="J139" s="929"/>
      <c r="K139" s="930"/>
      <c r="L139" s="931"/>
      <c r="M139" s="672"/>
    </row>
    <row r="140" spans="1:15" ht="25.5" customHeight="1" thickBot="1" x14ac:dyDescent="0.3">
      <c r="A140" s="896"/>
      <c r="B140" s="645"/>
      <c r="C140" s="665"/>
      <c r="D140" s="665"/>
      <c r="E140" s="925"/>
      <c r="F140" s="926"/>
      <c r="G140" s="927"/>
      <c r="H140" s="928"/>
      <c r="I140" s="929"/>
      <c r="J140" s="929"/>
      <c r="K140" s="930"/>
      <c r="L140" s="931"/>
      <c r="M140" s="672"/>
    </row>
    <row r="141" spans="1:15" ht="25.5" customHeight="1" thickBot="1" x14ac:dyDescent="0.3">
      <c r="A141" s="896"/>
      <c r="B141" s="645"/>
      <c r="C141" s="665"/>
      <c r="D141" s="665"/>
      <c r="E141" s="925"/>
      <c r="F141" s="926"/>
      <c r="G141" s="927"/>
      <c r="H141" s="928"/>
      <c r="I141" s="929"/>
      <c r="J141" s="929"/>
      <c r="K141" s="930"/>
      <c r="L141" s="931"/>
      <c r="M141" s="672"/>
    </row>
    <row r="142" spans="1:15" ht="25.5" customHeight="1" thickBot="1" x14ac:dyDescent="0.3">
      <c r="A142" s="896" t="s">
        <v>91</v>
      </c>
      <c r="B142" s="898" t="s">
        <v>275</v>
      </c>
      <c r="C142" s="523"/>
      <c r="D142" s="523"/>
      <c r="E142" s="614">
        <f>SUM(E134:E137)</f>
        <v>365997201</v>
      </c>
      <c r="F142" s="899">
        <v>0.02</v>
      </c>
      <c r="G142" s="614">
        <f>SUM(G134:G136)</f>
        <v>90</v>
      </c>
      <c r="H142" s="900">
        <v>365</v>
      </c>
      <c r="I142" s="614">
        <f>SUM(I134:I136)</f>
        <v>601639.23452054791</v>
      </c>
      <c r="J142" s="614">
        <f>SUM(J134:J136)</f>
        <v>3.2760496438878511E-3</v>
      </c>
      <c r="K142" s="614">
        <f>SUM(K134:K136)</f>
        <v>601639.23124449828</v>
      </c>
      <c r="L142" s="614">
        <f>SUM(L134:L137)</f>
        <v>0</v>
      </c>
      <c r="M142" s="672"/>
    </row>
    <row r="143" spans="1:15" ht="27" customHeight="1" thickBot="1" x14ac:dyDescent="0.3">
      <c r="A143" s="673" t="s">
        <v>91</v>
      </c>
      <c r="B143" s="674" t="s">
        <v>214</v>
      </c>
      <c r="C143" s="675" t="s">
        <v>91</v>
      </c>
      <c r="D143" s="675" t="s">
        <v>91</v>
      </c>
      <c r="E143" s="675" t="s">
        <v>91</v>
      </c>
      <c r="F143" s="675" t="s">
        <v>91</v>
      </c>
      <c r="G143" s="673" t="s">
        <v>91</v>
      </c>
      <c r="H143" s="676" t="s">
        <v>91</v>
      </c>
      <c r="I143" s="677">
        <f>I13+I33+I52+I91+I133+I142</f>
        <v>92792943.433921874</v>
      </c>
      <c r="J143" s="677">
        <f>J13+J33+J52+J91+J133+J142</f>
        <v>30602477.549105316</v>
      </c>
      <c r="K143" s="901">
        <f>+K133+K142</f>
        <v>4081123.8662395393</v>
      </c>
      <c r="L143" s="677">
        <f>L13+L33+L52+L91+L133+L142</f>
        <v>408000933</v>
      </c>
      <c r="M143" s="678">
        <f>+I143-J143</f>
        <v>62190465.884816557</v>
      </c>
    </row>
    <row r="144" spans="1:15" x14ac:dyDescent="0.25">
      <c r="G144" s="490">
        <f>SUM(G92:G133)</f>
        <v>730</v>
      </c>
      <c r="I144" s="672"/>
    </row>
    <row r="145" spans="5:15" ht="21" x14ac:dyDescent="0.25">
      <c r="J145" s="917">
        <f>+I143-J143</f>
        <v>62190465.884816557</v>
      </c>
      <c r="K145" s="920">
        <f>+K13+K33+K52+K91+K133+K142</f>
        <v>62190465.884816572</v>
      </c>
      <c r="L145" s="919">
        <f>SUM(L98:L132)</f>
        <v>90000933</v>
      </c>
    </row>
    <row r="146" spans="5:15" ht="18" x14ac:dyDescent="0.25">
      <c r="I146" s="680"/>
      <c r="J146" s="918"/>
      <c r="K146" s="918"/>
      <c r="L146" s="919">
        <f>106000000-L145</f>
        <v>15999067</v>
      </c>
      <c r="O146" s="672"/>
    </row>
    <row r="147" spans="5:15" x14ac:dyDescent="0.25">
      <c r="E147" s="680" t="e">
        <f>#REF!-106000000</f>
        <v>#REF!</v>
      </c>
    </row>
    <row r="148" spans="5:15" x14ac:dyDescent="0.25">
      <c r="K148" s="788">
        <v>3479.4846299999999</v>
      </c>
      <c r="L148" s="680">
        <f>+E13-L143</f>
        <v>121999067</v>
      </c>
    </row>
  </sheetData>
  <mergeCells count="7">
    <mergeCell ref="A2:L2"/>
    <mergeCell ref="A1:L1"/>
    <mergeCell ref="B70:B90"/>
    <mergeCell ref="B4:B12"/>
    <mergeCell ref="B14:B32"/>
    <mergeCell ref="B34:B51"/>
    <mergeCell ref="B53:B66"/>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opLeftCell="A12" zoomScale="70" zoomScaleNormal="70" zoomScaleSheetLayoutView="70" workbookViewId="0">
      <selection activeCell="D39" sqref="D39"/>
    </sheetView>
  </sheetViews>
  <sheetFormatPr defaultColWidth="27.42578125" defaultRowHeight="22.5" x14ac:dyDescent="0.3"/>
  <cols>
    <col min="1" max="1" width="8" style="704" customWidth="1"/>
    <col min="2" max="2" width="57.5703125" style="704" customWidth="1"/>
    <col min="3" max="3" width="20.28515625" style="704" customWidth="1"/>
    <col min="4" max="4" width="13.85546875" style="704" customWidth="1"/>
    <col min="5" max="5" width="18.28515625" style="704" customWidth="1"/>
    <col min="6" max="6" width="25.28515625" style="707" customWidth="1"/>
    <col min="7" max="7" width="25.5703125" style="707" customWidth="1"/>
    <col min="8" max="8" width="26" style="707" customWidth="1"/>
    <col min="9" max="9" width="27.42578125" style="707" hidden="1" customWidth="1"/>
    <col min="10" max="10" width="22.7109375" style="707" hidden="1" customWidth="1"/>
    <col min="11" max="11" width="26.5703125" style="707" customWidth="1"/>
    <col min="12" max="13" width="27.42578125" style="707"/>
    <col min="14" max="14" width="28.7109375" style="704" bestFit="1" customWidth="1"/>
    <col min="15" max="16384" width="27.42578125" style="704"/>
  </cols>
  <sheetData>
    <row r="1" spans="1:18" hidden="1" x14ac:dyDescent="0.3"/>
    <row r="2" spans="1:18" hidden="1" x14ac:dyDescent="0.3"/>
    <row r="3" spans="1:18" ht="66.75" customHeight="1" x14ac:dyDescent="0.3">
      <c r="A3" s="1358" t="s">
        <v>216</v>
      </c>
      <c r="B3" s="1358"/>
      <c r="C3" s="1358"/>
      <c r="D3" s="1358"/>
      <c r="E3" s="1358"/>
      <c r="F3" s="1358"/>
      <c r="G3" s="1358"/>
      <c r="H3" s="1358"/>
      <c r="I3" s="1358"/>
      <c r="J3" s="1358"/>
      <c r="K3" s="1358"/>
      <c r="L3" s="1358"/>
      <c r="M3" s="893"/>
    </row>
    <row r="4" spans="1:18" ht="23.25" thickBot="1" x14ac:dyDescent="0.35">
      <c r="B4" s="705"/>
      <c r="C4" s="705"/>
      <c r="D4" s="705"/>
      <c r="E4" s="705"/>
      <c r="F4" s="706"/>
      <c r="G4" s="706"/>
      <c r="H4" s="706"/>
      <c r="I4" s="706"/>
      <c r="J4" s="706"/>
      <c r="L4" s="706" t="s">
        <v>269</v>
      </c>
      <c r="M4" s="706"/>
      <c r="N4" s="708"/>
      <c r="O4" s="708"/>
    </row>
    <row r="5" spans="1:18" ht="36" customHeight="1" thickBot="1" x14ac:dyDescent="0.35">
      <c r="A5" s="1319" t="s">
        <v>28</v>
      </c>
      <c r="B5" s="1360" t="s">
        <v>217</v>
      </c>
      <c r="C5" s="1371" t="s">
        <v>218</v>
      </c>
      <c r="D5" s="1362" t="s">
        <v>219</v>
      </c>
      <c r="E5" s="1319" t="s">
        <v>40</v>
      </c>
      <c r="F5" s="1244" t="s">
        <v>270</v>
      </c>
      <c r="G5" s="1245"/>
      <c r="H5" s="1362" t="s">
        <v>264</v>
      </c>
      <c r="I5" s="1319" t="s">
        <v>258</v>
      </c>
      <c r="J5" s="1319" t="s">
        <v>259</v>
      </c>
      <c r="K5" s="1319" t="s">
        <v>220</v>
      </c>
      <c r="L5" s="1360" t="s">
        <v>263</v>
      </c>
      <c r="M5" s="709"/>
    </row>
    <row r="6" spans="1:18" ht="87" customHeight="1" thickBot="1" x14ac:dyDescent="0.35">
      <c r="A6" s="1321"/>
      <c r="B6" s="1361"/>
      <c r="C6" s="1372"/>
      <c r="D6" s="1364"/>
      <c r="E6" s="1321"/>
      <c r="F6" s="895" t="s">
        <v>221</v>
      </c>
      <c r="G6" s="894" t="s">
        <v>222</v>
      </c>
      <c r="H6" s="1364"/>
      <c r="I6" s="1321"/>
      <c r="J6" s="1321"/>
      <c r="K6" s="1321"/>
      <c r="L6" s="1361"/>
      <c r="N6" s="710"/>
      <c r="O6" s="711"/>
    </row>
    <row r="7" spans="1:18" ht="72.75" customHeight="1" thickBot="1" x14ac:dyDescent="0.35">
      <c r="A7" s="1319">
        <v>1</v>
      </c>
      <c r="B7" s="902" t="s">
        <v>223</v>
      </c>
      <c r="C7" s="1322">
        <v>530000000</v>
      </c>
      <c r="D7" s="1362" t="s">
        <v>224</v>
      </c>
      <c r="E7" s="1328">
        <v>0.02</v>
      </c>
      <c r="F7" s="903">
        <f>+F8+F9</f>
        <v>110240000</v>
      </c>
      <c r="G7" s="903">
        <f>+G8+G9</f>
        <v>154461917</v>
      </c>
      <c r="H7" s="904">
        <f>+H8+H9</f>
        <v>134983364.69</v>
      </c>
      <c r="I7" s="728">
        <f>+I8+I9</f>
        <v>19478552.309999999</v>
      </c>
      <c r="J7" s="787" t="s">
        <v>261</v>
      </c>
      <c r="K7" s="905">
        <f>+K8+K9</f>
        <v>19478552.309999999</v>
      </c>
      <c r="L7" s="1365">
        <f>251000000-H8</f>
        <v>121999067</v>
      </c>
      <c r="M7" s="906"/>
      <c r="N7" s="711"/>
    </row>
    <row r="8" spans="1:18" ht="33" customHeight="1" thickBot="1" x14ac:dyDescent="0.35">
      <c r="A8" s="1320"/>
      <c r="B8" s="712" t="s">
        <v>225</v>
      </c>
      <c r="C8" s="1323"/>
      <c r="D8" s="1363"/>
      <c r="E8" s="1329"/>
      <c r="F8" s="831">
        <v>106000000</v>
      </c>
      <c r="G8" s="831">
        <f>106000000+39000000</f>
        <v>145000000</v>
      </c>
      <c r="H8" s="829">
        <f>107000000+22000933</f>
        <v>129000933</v>
      </c>
      <c r="I8" s="713">
        <f>+G8-H8</f>
        <v>15999067</v>
      </c>
      <c r="J8" s="787" t="s">
        <v>260</v>
      </c>
      <c r="K8" s="833">
        <f>+G8-H8</f>
        <v>15999067</v>
      </c>
      <c r="L8" s="1366"/>
      <c r="M8" s="714"/>
      <c r="N8" s="710"/>
      <c r="O8" s="715"/>
      <c r="Q8" s="715"/>
    </row>
    <row r="9" spans="1:18" ht="33" customHeight="1" thickBot="1" x14ac:dyDescent="0.35">
      <c r="A9" s="1321"/>
      <c r="B9" s="712" t="s">
        <v>226</v>
      </c>
      <c r="C9" s="1324"/>
      <c r="D9" s="1364"/>
      <c r="E9" s="1330"/>
      <c r="F9" s="832">
        <v>4240000</v>
      </c>
      <c r="G9" s="832">
        <f>5982432+3479485</f>
        <v>9461917</v>
      </c>
      <c r="H9" s="830">
        <v>5982431.6900000004</v>
      </c>
      <c r="I9" s="717">
        <f>+K9</f>
        <v>3479485.3099999996</v>
      </c>
      <c r="J9" s="787">
        <v>44301</v>
      </c>
      <c r="K9" s="834">
        <f>G9-H9</f>
        <v>3479485.3099999996</v>
      </c>
      <c r="L9" s="1367"/>
      <c r="M9" s="714"/>
      <c r="P9" s="715"/>
      <c r="Q9" s="715"/>
    </row>
    <row r="10" spans="1:18" ht="102.75" customHeight="1" thickBot="1" x14ac:dyDescent="0.35">
      <c r="A10" s="1319">
        <v>2</v>
      </c>
      <c r="B10" s="907" t="s">
        <v>227</v>
      </c>
      <c r="C10" s="1368">
        <f>395048081-100000000</f>
        <v>295048081</v>
      </c>
      <c r="D10" s="1362" t="s">
        <v>228</v>
      </c>
      <c r="E10" s="1328">
        <v>0.08</v>
      </c>
      <c r="F10" s="728">
        <v>0</v>
      </c>
      <c r="G10" s="903">
        <f>+G11+G12</f>
        <v>63723883.219999999</v>
      </c>
      <c r="H10" s="904">
        <f>+H11+H12</f>
        <v>4714267.2200000007</v>
      </c>
      <c r="I10" s="728">
        <f>+I11+I12</f>
        <v>61389401.060000002</v>
      </c>
      <c r="J10" s="787"/>
      <c r="K10" s="903">
        <f>+K11+K12</f>
        <v>61389401.060000002</v>
      </c>
      <c r="L10" s="1365">
        <f>+G11</f>
        <v>59009616</v>
      </c>
      <c r="M10" s="714"/>
      <c r="R10" s="715"/>
    </row>
    <row r="11" spans="1:18" ht="52.5" customHeight="1" thickBot="1" x14ac:dyDescent="0.35">
      <c r="A11" s="1320"/>
      <c r="B11" s="712" t="s">
        <v>225</v>
      </c>
      <c r="C11" s="1369"/>
      <c r="D11" s="1363"/>
      <c r="E11" s="1329"/>
      <c r="F11" s="713">
        <v>0</v>
      </c>
      <c r="G11" s="831">
        <v>59009616</v>
      </c>
      <c r="H11" s="829">
        <v>0</v>
      </c>
      <c r="I11" s="713">
        <v>59009616</v>
      </c>
      <c r="J11" s="787"/>
      <c r="K11" s="833">
        <v>59009616</v>
      </c>
      <c r="L11" s="1366">
        <f>+I11-H11</f>
        <v>59009616</v>
      </c>
      <c r="M11" s="719"/>
      <c r="N11" s="710"/>
      <c r="O11" s="710"/>
      <c r="R11" s="711"/>
    </row>
    <row r="12" spans="1:18" ht="49.5" customHeight="1" thickBot="1" x14ac:dyDescent="0.35">
      <c r="A12" s="1321"/>
      <c r="B12" s="720" t="s">
        <v>226</v>
      </c>
      <c r="C12" s="1370"/>
      <c r="D12" s="1364"/>
      <c r="E12" s="1330"/>
      <c r="F12" s="716">
        <v>0</v>
      </c>
      <c r="G12" s="832">
        <f>H12</f>
        <v>4714267.2200000007</v>
      </c>
      <c r="H12" s="830">
        <f>2373283+2340984.22</f>
        <v>4714267.2200000007</v>
      </c>
      <c r="I12" s="717">
        <f>+K12</f>
        <v>2379785.06</v>
      </c>
      <c r="J12" s="787"/>
      <c r="K12" s="834">
        <v>2379785.06</v>
      </c>
      <c r="L12" s="1367">
        <f>+I12-H12+2379785.05</f>
        <v>45302.889999999199</v>
      </c>
      <c r="M12" s="714"/>
      <c r="N12" s="1359"/>
      <c r="O12" s="1359"/>
      <c r="P12" s="715"/>
      <c r="Q12" s="711"/>
      <c r="R12" s="715"/>
    </row>
    <row r="13" spans="1:18" ht="78.75" customHeight="1" thickBot="1" x14ac:dyDescent="0.35">
      <c r="A13" s="1340">
        <v>3</v>
      </c>
      <c r="B13" s="908" t="s">
        <v>229</v>
      </c>
      <c r="C13" s="1343">
        <v>1165000000</v>
      </c>
      <c r="D13" s="1346">
        <v>2021</v>
      </c>
      <c r="E13" s="1349">
        <v>0.02</v>
      </c>
      <c r="F13" s="909">
        <f>+F14+F15</f>
        <v>127180000</v>
      </c>
      <c r="G13" s="909">
        <f>+G14+G15</f>
        <v>127038666.67</v>
      </c>
      <c r="H13" s="910">
        <f>+H14+H15</f>
        <v>122954350.27</v>
      </c>
      <c r="I13" s="911">
        <f>+I14+I15</f>
        <v>110084316.40000001</v>
      </c>
      <c r="J13" s="835"/>
      <c r="K13" s="909">
        <f>+K14+K15</f>
        <v>4084316.4000000022</v>
      </c>
      <c r="L13" s="1352">
        <f>1059000000-H14</f>
        <v>953000000</v>
      </c>
      <c r="M13" s="714"/>
      <c r="O13" s="710"/>
      <c r="R13" s="711"/>
    </row>
    <row r="14" spans="1:18" ht="45" customHeight="1" thickBot="1" x14ac:dyDescent="0.35">
      <c r="A14" s="1341"/>
      <c r="B14" s="836" t="s">
        <v>230</v>
      </c>
      <c r="C14" s="1344"/>
      <c r="D14" s="1347"/>
      <c r="E14" s="1350"/>
      <c r="F14" s="842">
        <v>106000000</v>
      </c>
      <c r="G14" s="842">
        <v>106000000</v>
      </c>
      <c r="H14" s="838">
        <v>106000000</v>
      </c>
      <c r="I14" s="837">
        <f>35000000+36000000+25000000+10000000</f>
        <v>106000000</v>
      </c>
      <c r="J14" s="835"/>
      <c r="K14" s="844"/>
      <c r="L14" s="1353">
        <f>F14</f>
        <v>106000000</v>
      </c>
      <c r="M14" s="714"/>
      <c r="N14" s="710"/>
      <c r="O14" s="710"/>
    </row>
    <row r="15" spans="1:18" ht="69" customHeight="1" thickBot="1" x14ac:dyDescent="0.35">
      <c r="A15" s="1342"/>
      <c r="B15" s="839" t="s">
        <v>231</v>
      </c>
      <c r="C15" s="1345"/>
      <c r="D15" s="1348"/>
      <c r="E15" s="1351"/>
      <c r="F15" s="843">
        <v>21180000</v>
      </c>
      <c r="G15" s="843">
        <v>21038666.670000002</v>
      </c>
      <c r="H15" s="840">
        <v>16954350.27</v>
      </c>
      <c r="I15" s="841">
        <f>G15-H15</f>
        <v>4084316.4000000022</v>
      </c>
      <c r="J15" s="835"/>
      <c r="K15" s="845">
        <f>+G15-H15</f>
        <v>4084316.4000000022</v>
      </c>
      <c r="L15" s="1354">
        <f>G15-H15</f>
        <v>4084316.4000000022</v>
      </c>
      <c r="M15" s="714"/>
      <c r="N15" s="710"/>
      <c r="O15" s="710"/>
    </row>
    <row r="16" spans="1:18" ht="111.75" customHeight="1" thickBot="1" x14ac:dyDescent="0.35">
      <c r="A16" s="1319">
        <v>4</v>
      </c>
      <c r="B16" s="912" t="s">
        <v>232</v>
      </c>
      <c r="C16" s="1322">
        <v>153790099</v>
      </c>
      <c r="D16" s="1325" t="s">
        <v>233</v>
      </c>
      <c r="E16" s="1328" t="s">
        <v>234</v>
      </c>
      <c r="F16" s="903">
        <f>+F17+F18</f>
        <v>168400159</v>
      </c>
      <c r="G16" s="903">
        <f>+G17+G18</f>
        <v>174859342.92000002</v>
      </c>
      <c r="H16" s="904">
        <f>+H17+H18</f>
        <v>15509798.9</v>
      </c>
      <c r="I16" s="728">
        <f>+I17+I18</f>
        <v>-922740.23999999836</v>
      </c>
      <c r="J16" s="787"/>
      <c r="K16" s="903">
        <f>+K17+K18</f>
        <v>159480325.02000001</v>
      </c>
      <c r="L16" s="1355">
        <f>+G17</f>
        <v>153790099</v>
      </c>
      <c r="M16" s="714"/>
      <c r="N16" s="710"/>
      <c r="O16" s="710"/>
    </row>
    <row r="17" spans="1:17" ht="46.5" customHeight="1" thickBot="1" x14ac:dyDescent="0.35">
      <c r="A17" s="1320"/>
      <c r="B17" s="712" t="s">
        <v>225</v>
      </c>
      <c r="C17" s="1323"/>
      <c r="D17" s="1326"/>
      <c r="E17" s="1329"/>
      <c r="F17" s="831">
        <v>153790099</v>
      </c>
      <c r="G17" s="831">
        <v>153790099</v>
      </c>
      <c r="H17" s="846">
        <v>130789</v>
      </c>
      <c r="I17" s="713">
        <v>0</v>
      </c>
      <c r="J17" s="787"/>
      <c r="K17" s="833">
        <v>153790091</v>
      </c>
      <c r="L17" s="1356"/>
      <c r="M17" s="719"/>
      <c r="N17" s="722"/>
      <c r="O17" s="710"/>
      <c r="P17" s="718"/>
    </row>
    <row r="18" spans="1:17" ht="64.5" customHeight="1" thickBot="1" x14ac:dyDescent="0.35">
      <c r="A18" s="1321"/>
      <c r="B18" s="721" t="s">
        <v>235</v>
      </c>
      <c r="C18" s="1324"/>
      <c r="D18" s="1327"/>
      <c r="E18" s="1330"/>
      <c r="F18" s="832">
        <v>14610060</v>
      </c>
      <c r="G18" s="832">
        <f>8766036+6612974.26+5690233.66</f>
        <v>21069243.920000002</v>
      </c>
      <c r="H18" s="830">
        <f>8766035.64+6612974.26</f>
        <v>15379009.9</v>
      </c>
      <c r="I18" s="717">
        <f>+G18-H18-6612974.26</f>
        <v>-922740.23999999836</v>
      </c>
      <c r="J18" s="787"/>
      <c r="K18" s="834">
        <f>+G18-H18</f>
        <v>5690234.0200000014</v>
      </c>
      <c r="L18" s="1357"/>
      <c r="M18" s="714"/>
      <c r="O18" s="710"/>
      <c r="Q18" s="715"/>
    </row>
    <row r="19" spans="1:17" ht="129" customHeight="1" thickBot="1" x14ac:dyDescent="0.35">
      <c r="A19" s="1319">
        <v>5</v>
      </c>
      <c r="B19" s="912" t="s">
        <v>236</v>
      </c>
      <c r="C19" s="1322">
        <v>500000000</v>
      </c>
      <c r="D19" s="1325" t="s">
        <v>237</v>
      </c>
      <c r="E19" s="1328" t="s">
        <v>238</v>
      </c>
      <c r="F19" s="903">
        <f>+F20+F21</f>
        <v>90000000</v>
      </c>
      <c r="G19" s="903">
        <f>+G20+G21</f>
        <v>833760308.76999998</v>
      </c>
      <c r="H19" s="904">
        <f>+H20+H21</f>
        <v>0</v>
      </c>
      <c r="I19" s="728">
        <f>+I20+I21</f>
        <v>0</v>
      </c>
      <c r="J19" s="787"/>
      <c r="K19" s="903">
        <f>+K20+K21</f>
        <v>350149373.63</v>
      </c>
      <c r="L19" s="1331">
        <f>+G20</f>
        <v>483610935.13999999</v>
      </c>
      <c r="M19" s="906"/>
      <c r="O19" s="710"/>
    </row>
    <row r="20" spans="1:17" ht="43.5" customHeight="1" thickBot="1" x14ac:dyDescent="0.35">
      <c r="A20" s="1320"/>
      <c r="B20" s="712" t="s">
        <v>225</v>
      </c>
      <c r="C20" s="1323"/>
      <c r="D20" s="1326"/>
      <c r="E20" s="1329"/>
      <c r="F20" s="831">
        <v>50000000</v>
      </c>
      <c r="G20" s="831">
        <v>483610935.13999999</v>
      </c>
      <c r="H20" s="829">
        <v>0</v>
      </c>
      <c r="I20" s="713">
        <v>0</v>
      </c>
      <c r="J20" s="787"/>
      <c r="K20" s="833">
        <v>0</v>
      </c>
      <c r="L20" s="1332"/>
      <c r="M20" s="906"/>
      <c r="N20" s="723"/>
      <c r="O20" s="710"/>
    </row>
    <row r="21" spans="1:17" ht="41.25" customHeight="1" thickBot="1" x14ac:dyDescent="0.35">
      <c r="A21" s="1321"/>
      <c r="B21" s="721" t="s">
        <v>226</v>
      </c>
      <c r="C21" s="1324"/>
      <c r="D21" s="1327"/>
      <c r="E21" s="1330"/>
      <c r="F21" s="832">
        <v>40000000</v>
      </c>
      <c r="G21" s="832">
        <v>350149373.63</v>
      </c>
      <c r="H21" s="830">
        <v>0</v>
      </c>
      <c r="I21" s="717"/>
      <c r="J21" s="787"/>
      <c r="K21" s="834">
        <f>+G21</f>
        <v>350149373.63</v>
      </c>
      <c r="L21" s="1333"/>
      <c r="M21" s="906">
        <f>+'--- 500 mln-01.12.2021'!J65</f>
        <v>350149373.62558091</v>
      </c>
      <c r="N21" s="723"/>
      <c r="O21" s="710"/>
    </row>
    <row r="22" spans="1:17" ht="112.5" customHeight="1" thickBot="1" x14ac:dyDescent="0.35">
      <c r="A22" s="1319">
        <v>6</v>
      </c>
      <c r="B22" s="912" t="s">
        <v>239</v>
      </c>
      <c r="C22" s="1322">
        <v>2250000000</v>
      </c>
      <c r="D22" s="1325" t="s">
        <v>240</v>
      </c>
      <c r="E22" s="1328">
        <v>0.02</v>
      </c>
      <c r="F22" s="903">
        <f>+F23+F24</f>
        <v>605173868.52999997</v>
      </c>
      <c r="G22" s="903">
        <f>+G23+G24</f>
        <v>2215049038.3899999</v>
      </c>
      <c r="H22" s="913">
        <f>+H23+H24</f>
        <v>567308.23</v>
      </c>
      <c r="I22" s="728">
        <f>+I23+I24</f>
        <v>1641790098.9599998</v>
      </c>
      <c r="J22" s="787"/>
      <c r="K22" s="903">
        <f>+K23+K24</f>
        <v>2215049038.77</v>
      </c>
      <c r="L22" s="1331">
        <f>+K23</f>
        <v>2133292548.77</v>
      </c>
      <c r="M22" s="906"/>
      <c r="O22" s="710"/>
    </row>
    <row r="23" spans="1:17" ht="60" customHeight="1" thickBot="1" x14ac:dyDescent="0.35">
      <c r="A23" s="1320"/>
      <c r="B23" s="712" t="s">
        <v>225</v>
      </c>
      <c r="C23" s="1323"/>
      <c r="D23" s="1326"/>
      <c r="E23" s="1329"/>
      <c r="F23" s="831">
        <v>562500000</v>
      </c>
      <c r="G23" s="831">
        <f>I23+F23</f>
        <v>2133292548.3899999</v>
      </c>
      <c r="H23" s="829">
        <f>553808.23+1200+12300</f>
        <v>567308.23</v>
      </c>
      <c r="I23" s="713">
        <f>1571359856.62-H23</f>
        <v>1570792548.3899999</v>
      </c>
      <c r="J23" s="787"/>
      <c r="K23" s="833">
        <f>2133859857-H23</f>
        <v>2133292548.77</v>
      </c>
      <c r="L23" s="1332">
        <f>K23+G23</f>
        <v>4266585097.1599998</v>
      </c>
      <c r="M23" s="906"/>
      <c r="N23" s="710"/>
      <c r="O23" s="710"/>
    </row>
    <row r="24" spans="1:17" ht="51" customHeight="1" thickBot="1" x14ac:dyDescent="0.35">
      <c r="A24" s="1321"/>
      <c r="B24" s="721" t="s">
        <v>226</v>
      </c>
      <c r="C24" s="1324"/>
      <c r="D24" s="1327"/>
      <c r="E24" s="1330"/>
      <c r="F24" s="832">
        <f>42673868.53</f>
        <v>42673868.530000001</v>
      </c>
      <c r="G24" s="832">
        <f>81756490</f>
        <v>81756490</v>
      </c>
      <c r="H24" s="830">
        <v>0</v>
      </c>
      <c r="I24" s="717">
        <f>70997550.57</f>
        <v>70997550.569999993</v>
      </c>
      <c r="J24" s="787"/>
      <c r="K24" s="834">
        <f>G24</f>
        <v>81756490</v>
      </c>
      <c r="L24" s="1333">
        <f>81759819</f>
        <v>81759819</v>
      </c>
      <c r="M24" s="906">
        <f>+'[3]TSB_31,12.2021'!$L$85</f>
        <v>81756490.364690363</v>
      </c>
      <c r="N24" s="724">
        <f>+'[3]TSB_31,12.2021'!$J$82</f>
        <v>42673868.530271783</v>
      </c>
      <c r="O24" s="725"/>
    </row>
    <row r="25" spans="1:17" ht="105" customHeight="1" thickBot="1" x14ac:dyDescent="0.35">
      <c r="A25" s="1319">
        <v>7</v>
      </c>
      <c r="B25" s="912" t="s">
        <v>241</v>
      </c>
      <c r="C25" s="1322">
        <v>1070000000</v>
      </c>
      <c r="D25" s="1325" t="s">
        <v>240</v>
      </c>
      <c r="E25" s="1328">
        <v>0.02</v>
      </c>
      <c r="F25" s="903">
        <f>+F26+F27</f>
        <v>288698572.55000001</v>
      </c>
      <c r="G25" s="903">
        <f>+G26+G27</f>
        <v>1119740284.5999999</v>
      </c>
      <c r="H25" s="904">
        <f>+H26+H27</f>
        <v>40791196</v>
      </c>
      <c r="I25" s="728">
        <v>796562130</v>
      </c>
      <c r="J25" s="787"/>
      <c r="K25" s="903">
        <f>+K26+K27</f>
        <v>1119740284.5999999</v>
      </c>
      <c r="L25" s="1331">
        <f>+K26</f>
        <v>1023711889.5</v>
      </c>
      <c r="M25" s="906"/>
      <c r="O25" s="710"/>
    </row>
    <row r="26" spans="1:17" ht="46.5" customHeight="1" thickBot="1" x14ac:dyDescent="0.35">
      <c r="A26" s="1320"/>
      <c r="B26" s="712" t="s">
        <v>225</v>
      </c>
      <c r="C26" s="1323"/>
      <c r="D26" s="1326"/>
      <c r="E26" s="1329"/>
      <c r="F26" s="831">
        <v>267500000</v>
      </c>
      <c r="G26" s="831">
        <f>1023711889.5</f>
        <v>1023711889.5</v>
      </c>
      <c r="H26" s="829">
        <v>40791196</v>
      </c>
      <c r="I26" s="713">
        <v>796562130</v>
      </c>
      <c r="J26" s="787"/>
      <c r="K26" s="833">
        <v>1023711889.5</v>
      </c>
      <c r="L26" s="1332">
        <f>K26+G26</f>
        <v>2047423779</v>
      </c>
      <c r="M26" s="906"/>
      <c r="N26" s="710"/>
      <c r="O26" s="710"/>
    </row>
    <row r="27" spans="1:17" ht="47.25" customHeight="1" thickBot="1" x14ac:dyDescent="0.35">
      <c r="A27" s="1321"/>
      <c r="B27" s="721" t="s">
        <v>226</v>
      </c>
      <c r="C27" s="1324"/>
      <c r="D27" s="1327"/>
      <c r="E27" s="1330"/>
      <c r="F27" s="832">
        <v>21198572.550000001</v>
      </c>
      <c r="G27" s="832">
        <f>96028395.1</f>
        <v>96028395.099999994</v>
      </c>
      <c r="H27" s="830">
        <v>0</v>
      </c>
      <c r="I27" s="717">
        <f>90748306.5</f>
        <v>90748306.5</v>
      </c>
      <c r="J27" s="787"/>
      <c r="K27" s="834">
        <f>G27</f>
        <v>96028395.099999994</v>
      </c>
      <c r="L27" s="1333">
        <f>96112346</f>
        <v>96112346</v>
      </c>
      <c r="M27" s="906">
        <f>+L22+L25</f>
        <v>3157004438.27</v>
      </c>
      <c r="N27" s="724">
        <f>+'[4]АИБ - 31.12.2021'!$M$84</f>
        <v>96028395.098609924</v>
      </c>
      <c r="O27" s="725">
        <f>+'[5]АИБ - 31.12.2021'!$K$83</f>
        <v>21198572.547616433</v>
      </c>
    </row>
    <row r="28" spans="1:17" ht="92.25" customHeight="1" thickBot="1" x14ac:dyDescent="0.35">
      <c r="A28" s="1319">
        <v>8</v>
      </c>
      <c r="B28" s="912" t="s">
        <v>241</v>
      </c>
      <c r="C28" s="1322">
        <v>200000000</v>
      </c>
      <c r="D28" s="1325" t="s">
        <v>242</v>
      </c>
      <c r="E28" s="1334" t="s">
        <v>24</v>
      </c>
      <c r="F28" s="903">
        <f>+F29+F30</f>
        <v>0</v>
      </c>
      <c r="G28" s="903">
        <f>+G29+G30</f>
        <v>200000000</v>
      </c>
      <c r="H28" s="903">
        <f>+H29+H30</f>
        <v>0</v>
      </c>
      <c r="I28" s="903">
        <f>+I29+I30</f>
        <v>0</v>
      </c>
      <c r="J28" s="850"/>
      <c r="K28" s="903">
        <f>+K29+K30</f>
        <v>0</v>
      </c>
      <c r="L28" s="1337">
        <f>+G29</f>
        <v>200000000</v>
      </c>
      <c r="M28" s="906"/>
      <c r="N28" s="711"/>
      <c r="O28" s="723"/>
    </row>
    <row r="29" spans="1:17" ht="47.25" customHeight="1" thickBot="1" x14ac:dyDescent="0.35">
      <c r="A29" s="1320"/>
      <c r="B29" s="712" t="s">
        <v>225</v>
      </c>
      <c r="C29" s="1323"/>
      <c r="D29" s="1326"/>
      <c r="E29" s="1335"/>
      <c r="F29" s="847">
        <v>0</v>
      </c>
      <c r="G29" s="831">
        <v>200000000</v>
      </c>
      <c r="H29" s="846">
        <v>0</v>
      </c>
      <c r="I29" s="848">
        <v>0</v>
      </c>
      <c r="J29" s="850"/>
      <c r="K29" s="848">
        <v>0</v>
      </c>
      <c r="L29" s="1338"/>
      <c r="M29" s="906"/>
      <c r="N29" s="711"/>
      <c r="O29" s="723"/>
      <c r="P29" s="726"/>
    </row>
    <row r="30" spans="1:17" ht="47.25" customHeight="1" thickBot="1" x14ac:dyDescent="0.35">
      <c r="A30" s="1321"/>
      <c r="B30" s="721" t="s">
        <v>226</v>
      </c>
      <c r="C30" s="1324"/>
      <c r="D30" s="1327"/>
      <c r="E30" s="1336"/>
      <c r="F30" s="832">
        <v>0</v>
      </c>
      <c r="G30" s="832">
        <v>0</v>
      </c>
      <c r="H30" s="851">
        <v>0</v>
      </c>
      <c r="I30" s="832">
        <v>0</v>
      </c>
      <c r="J30" s="850"/>
      <c r="K30" s="832">
        <v>0</v>
      </c>
      <c r="L30" s="1339"/>
      <c r="M30" s="906"/>
      <c r="N30" s="711"/>
      <c r="O30" s="723"/>
      <c r="P30" s="727"/>
    </row>
    <row r="31" spans="1:17" ht="46.5" customHeight="1" thickBot="1" x14ac:dyDescent="0.35">
      <c r="A31" s="1304" t="s">
        <v>91</v>
      </c>
      <c r="B31" s="1307" t="s">
        <v>243</v>
      </c>
      <c r="C31" s="1308"/>
      <c r="D31" s="1308"/>
      <c r="E31" s="1309"/>
      <c r="F31" s="728">
        <f>F8+F11+F14+F17+F20+F23+F26+F29</f>
        <v>1245790099</v>
      </c>
      <c r="G31" s="728">
        <f>G8+G11+G14+G17+G20+G23+G26+G29</f>
        <v>4304415088.0299997</v>
      </c>
      <c r="H31" s="728">
        <f>H8+H11+H14+H17+H20+H23+H26+H29</f>
        <v>276490226.23000002</v>
      </c>
      <c r="I31" s="728">
        <f>I8+I11+I14+I17+I20+I23+I26+I29</f>
        <v>2548363361.3899999</v>
      </c>
      <c r="J31" s="787"/>
      <c r="K31" s="728">
        <f>K8+K11+K14+K17+K20+K23+K26+K29</f>
        <v>3385803212.27</v>
      </c>
      <c r="L31" s="1310">
        <f>+L7+L10+L13+L16+L19+L22+L25+L28</f>
        <v>5128414155.4099998</v>
      </c>
      <c r="M31" s="729"/>
      <c r="O31" s="727"/>
      <c r="P31" s="727"/>
    </row>
    <row r="32" spans="1:17" ht="42.75" customHeight="1" thickBot="1" x14ac:dyDescent="0.35">
      <c r="A32" s="1305"/>
      <c r="B32" s="1313" t="s">
        <v>244</v>
      </c>
      <c r="C32" s="1314"/>
      <c r="D32" s="1314"/>
      <c r="E32" s="1315"/>
      <c r="F32" s="728">
        <f>+F9+F12+F15+F18+F21+F24+F27+F30</f>
        <v>143902501.08000001</v>
      </c>
      <c r="G32" s="728">
        <f>+G9+G12+G15+G18+G21+G24+G27</f>
        <v>584218353.53999996</v>
      </c>
      <c r="H32" s="728">
        <f>+H9+H12+H15+H18+H21+H24+H27+H30</f>
        <v>43030059.079999998</v>
      </c>
      <c r="I32" s="728">
        <f>+I9+I12+I15+I18+I21+I24+I27</f>
        <v>170766703.59999999</v>
      </c>
      <c r="J32" s="787"/>
      <c r="K32" s="728">
        <f>+K9+K12+K15+K18+K21+K24+K27</f>
        <v>543568079.51999998</v>
      </c>
      <c r="L32" s="1311"/>
      <c r="M32" s="729"/>
      <c r="N32" s="715"/>
      <c r="O32" s="727"/>
      <c r="P32" s="727"/>
    </row>
    <row r="33" spans="1:16" ht="45.75" customHeight="1" thickBot="1" x14ac:dyDescent="0.35">
      <c r="A33" s="1306"/>
      <c r="B33" s="1316" t="s">
        <v>132</v>
      </c>
      <c r="C33" s="1317"/>
      <c r="D33" s="1317"/>
      <c r="E33" s="1318"/>
      <c r="F33" s="728">
        <f>SUM(F31:F32)</f>
        <v>1389692600.0799999</v>
      </c>
      <c r="G33" s="728">
        <f>SUM(G31:G32)</f>
        <v>4888633441.5699997</v>
      </c>
      <c r="H33" s="728">
        <f>SUM(H31:H32)</f>
        <v>319520285.31</v>
      </c>
      <c r="I33" s="728">
        <f>SUM(I31:I32)</f>
        <v>2719130064.9899998</v>
      </c>
      <c r="J33" s="787"/>
      <c r="K33" s="728">
        <f>SUM(K31:K32)</f>
        <v>3929371291.79</v>
      </c>
      <c r="L33" s="1312"/>
      <c r="M33" s="729">
        <f>+L7+L10+L13+L19+L16+L22+L25+L28</f>
        <v>5128414155.4099998</v>
      </c>
      <c r="O33" s="727"/>
      <c r="P33" s="727"/>
    </row>
    <row r="34" spans="1:16" s="730" customFormat="1" ht="27" customHeight="1" x14ac:dyDescent="0.3">
      <c r="B34" s="731"/>
      <c r="C34" s="731"/>
      <c r="D34" s="731"/>
      <c r="E34" s="731"/>
      <c r="F34" s="849"/>
      <c r="G34" s="732"/>
      <c r="H34" s="732"/>
      <c r="I34" s="732"/>
      <c r="J34" s="732"/>
      <c r="K34" s="733"/>
      <c r="L34" s="733"/>
      <c r="M34" s="733"/>
      <c r="P34" s="734"/>
    </row>
    <row r="35" spans="1:16" ht="76.5" customHeight="1" x14ac:dyDescent="0.3">
      <c r="B35" s="1302" t="s">
        <v>272</v>
      </c>
      <c r="C35" s="1302"/>
      <c r="D35" s="1302"/>
      <c r="E35" s="1302"/>
      <c r="F35" s="1302"/>
      <c r="G35" s="1302"/>
      <c r="H35" s="1302"/>
      <c r="I35" s="1302"/>
      <c r="J35" s="1302"/>
      <c r="K35" s="1302"/>
      <c r="L35" s="1302"/>
      <c r="M35" s="735"/>
    </row>
    <row r="36" spans="1:16" ht="56.25" customHeight="1" x14ac:dyDescent="0.3">
      <c r="B36" s="1302" t="s">
        <v>271</v>
      </c>
      <c r="C36" s="1302"/>
      <c r="D36" s="1302"/>
      <c r="E36" s="1302"/>
      <c r="F36" s="1302"/>
      <c r="G36" s="1302"/>
      <c r="H36" s="1302"/>
      <c r="I36" s="1302"/>
      <c r="J36" s="1302"/>
      <c r="K36" s="1302"/>
      <c r="L36" s="1302"/>
      <c r="M36" s="736"/>
    </row>
    <row r="37" spans="1:16" x14ac:dyDescent="0.3">
      <c r="B37" s="1213"/>
      <c r="C37" s="1213"/>
      <c r="D37" s="1213"/>
      <c r="E37" s="1213"/>
      <c r="F37" s="1213"/>
      <c r="G37" s="1213"/>
      <c r="H37" s="1213"/>
      <c r="I37" s="1213"/>
      <c r="J37" s="1213"/>
      <c r="K37" s="1213"/>
      <c r="L37" s="1213"/>
      <c r="M37" s="683"/>
    </row>
    <row r="38" spans="1:16" x14ac:dyDescent="0.3">
      <c r="B38" s="737"/>
      <c r="C38" s="737"/>
      <c r="D38" s="737"/>
      <c r="E38" s="737"/>
      <c r="F38" s="738"/>
      <c r="G38" s="739"/>
      <c r="H38" s="740"/>
      <c r="I38" s="739"/>
      <c r="J38" s="739"/>
      <c r="K38" s="741"/>
      <c r="L38" s="741"/>
      <c r="M38" s="741"/>
    </row>
    <row r="39" spans="1:16" x14ac:dyDescent="0.3">
      <c r="B39" s="742"/>
      <c r="C39" s="742"/>
      <c r="D39" s="742"/>
      <c r="E39" s="742"/>
      <c r="F39" s="738"/>
      <c r="G39" s="738"/>
      <c r="H39" s="738"/>
      <c r="I39" s="738"/>
      <c r="J39" s="738"/>
      <c r="K39" s="741"/>
      <c r="L39" s="741"/>
      <c r="M39" s="741"/>
    </row>
    <row r="40" spans="1:16" x14ac:dyDescent="0.3">
      <c r="B40" s="743"/>
      <c r="C40" s="743"/>
      <c r="D40" s="743"/>
      <c r="E40" s="743"/>
      <c r="F40" s="741"/>
      <c r="G40" s="741"/>
      <c r="H40" s="741"/>
      <c r="I40" s="744"/>
      <c r="J40" s="744"/>
      <c r="K40" s="741"/>
      <c r="L40" s="741"/>
      <c r="M40" s="741"/>
    </row>
    <row r="41" spans="1:16" x14ac:dyDescent="0.3">
      <c r="B41" s="745"/>
      <c r="C41" s="745"/>
      <c r="D41" s="745"/>
      <c r="E41" s="745"/>
      <c r="F41" s="741"/>
      <c r="G41" s="741"/>
      <c r="H41" s="741"/>
      <c r="I41" s="741"/>
      <c r="J41" s="741"/>
    </row>
    <row r="42" spans="1:16" x14ac:dyDescent="0.3">
      <c r="B42" s="745"/>
      <c r="C42" s="745"/>
      <c r="D42" s="745"/>
      <c r="E42" s="745"/>
      <c r="F42" s="741"/>
      <c r="G42" s="741"/>
      <c r="H42" s="741"/>
      <c r="I42" s="741"/>
      <c r="J42" s="741"/>
    </row>
    <row r="51" spans="11:13" x14ac:dyDescent="0.3">
      <c r="K51" s="1303"/>
      <c r="L51" s="1303"/>
      <c r="M51" s="746"/>
    </row>
    <row r="52" spans="11:13" x14ac:dyDescent="0.3">
      <c r="K52" s="1303"/>
      <c r="L52" s="1303"/>
      <c r="M52" s="746"/>
    </row>
    <row r="53" spans="11:13" x14ac:dyDescent="0.3">
      <c r="K53" s="1303"/>
      <c r="L53" s="1303"/>
      <c r="M53" s="746"/>
    </row>
  </sheetData>
  <mergeCells count="62">
    <mergeCell ref="K5:K6"/>
    <mergeCell ref="J5:J6"/>
    <mergeCell ref="A5:A6"/>
    <mergeCell ref="B5:B6"/>
    <mergeCell ref="C5:C6"/>
    <mergeCell ref="D5:D6"/>
    <mergeCell ref="E5:E6"/>
    <mergeCell ref="A3:L3"/>
    <mergeCell ref="N12:O12"/>
    <mergeCell ref="L5:L6"/>
    <mergeCell ref="A7:A9"/>
    <mergeCell ref="C7:C9"/>
    <mergeCell ref="D7:D9"/>
    <mergeCell ref="E7:E9"/>
    <mergeCell ref="L7:L9"/>
    <mergeCell ref="A10:A12"/>
    <mergeCell ref="C10:C12"/>
    <mergeCell ref="D10:D12"/>
    <mergeCell ref="E10:E12"/>
    <mergeCell ref="L10:L12"/>
    <mergeCell ref="F5:G5"/>
    <mergeCell ref="H5:H6"/>
    <mergeCell ref="I5:I6"/>
    <mergeCell ref="A16:A18"/>
    <mergeCell ref="C16:C18"/>
    <mergeCell ref="D16:D18"/>
    <mergeCell ref="E16:E18"/>
    <mergeCell ref="L16:L18"/>
    <mergeCell ref="A13:A15"/>
    <mergeCell ref="C13:C15"/>
    <mergeCell ref="D13:D15"/>
    <mergeCell ref="E13:E15"/>
    <mergeCell ref="L13:L15"/>
    <mergeCell ref="A22:A24"/>
    <mergeCell ref="C22:C24"/>
    <mergeCell ref="D22:D24"/>
    <mergeCell ref="E22:E24"/>
    <mergeCell ref="L22:L24"/>
    <mergeCell ref="A19:A21"/>
    <mergeCell ref="C19:C21"/>
    <mergeCell ref="D19:D21"/>
    <mergeCell ref="E19:E21"/>
    <mergeCell ref="L19:L21"/>
    <mergeCell ref="A28:A30"/>
    <mergeCell ref="C28:C30"/>
    <mergeCell ref="D28:D30"/>
    <mergeCell ref="E28:E30"/>
    <mergeCell ref="L28:L30"/>
    <mergeCell ref="A25:A27"/>
    <mergeCell ref="C25:C27"/>
    <mergeCell ref="D25:D27"/>
    <mergeCell ref="E25:E27"/>
    <mergeCell ref="L25:L27"/>
    <mergeCell ref="B36:L36"/>
    <mergeCell ref="B37:L37"/>
    <mergeCell ref="K51:L53"/>
    <mergeCell ref="A31:A33"/>
    <mergeCell ref="B31:E31"/>
    <mergeCell ref="L31:L33"/>
    <mergeCell ref="B32:E32"/>
    <mergeCell ref="B33:E33"/>
    <mergeCell ref="B35:L35"/>
  </mergeCells>
  <pageMargins left="0.70866141732283472" right="0.21" top="0.74803149606299213" bottom="0.74803149606299213" header="0.31496062992125984" footer="0.31496062992125984"/>
  <pageSetup paperSize="9" scale="54" orientation="landscape" verticalDpi="0" r:id="rId1"/>
  <rowBreaks count="2" manualBreakCount="2">
    <brk id="15" max="16383" man="1"/>
    <brk id="36" max="16383" man="1"/>
  </rowBreaks>
  <colBreaks count="1" manualBreakCount="1">
    <brk id="12" max="5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6</vt:i4>
      </vt:variant>
    </vt:vector>
  </HeadingPairs>
  <TitlesOfParts>
    <vt:vector size="16" baseType="lpstr">
      <vt:lpstr>Ба Вазир 01-04-22</vt:lpstr>
      <vt:lpstr>Қарз нисбат ба ММД дар кв1</vt:lpstr>
      <vt:lpstr>Қарздорӣ дар назди БМТ-31.01.22</vt:lpstr>
      <vt:lpstr>векселҳои оддии бефоиз-31.12.21</vt:lpstr>
      <vt:lpstr>Қарзи БМТ 1165_22.12.2021</vt:lpstr>
      <vt:lpstr>ҚД маблағҳои буҷетӣ дар 2022</vt:lpstr>
      <vt:lpstr>-- РОГУН</vt:lpstr>
      <vt:lpstr>-- Роғун</vt:lpstr>
      <vt:lpstr>--- Қарздорӣ назди БМТ.28.12.21</vt:lpstr>
      <vt:lpstr>--- 500 mln-01.12.2021</vt:lpstr>
      <vt:lpstr>'-- РОГУН'!Область_печати</vt:lpstr>
      <vt:lpstr>'Ба Вазир 01-04-22'!Область_печати</vt:lpstr>
      <vt:lpstr>'векселҳои оддии бефоиз-31.12.21'!Область_печати</vt:lpstr>
      <vt:lpstr>'Қарздорӣ дар назди БМТ-31.01.22'!Область_печати</vt:lpstr>
      <vt:lpstr>'Қарзи БМТ 1165_22.12.2021'!Область_печати</vt:lpstr>
      <vt:lpstr>'ҚД маблағҳои буҷетӣ дар 2022'!Область_печати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2022-04-12T08:21:30Z</dcterms:modified>
</cp:coreProperties>
</file>